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EC47" lockStructure="1"/>
  <bookViews>
    <workbookView xWindow="0" yWindow="0" windowWidth="20730" windowHeight="11760" firstSheet="1" activeTab="3"/>
  </bookViews>
  <sheets>
    <sheet name="HT BANCOS" sheetId="65" state="hidden" r:id="rId1"/>
    <sheet name="RESUMIDO" sheetId="79" r:id="rId2"/>
    <sheet name="DETALLADO FORMULADO" sheetId="82" state="hidden" r:id="rId3"/>
    <sheet name="DETALLADO" sheetId="84" r:id="rId4"/>
  </sheets>
  <definedNames>
    <definedName name="_xlnm._FilterDatabase" localSheetId="3" hidden="1">DETALLADO!$A$5:$Z$38</definedName>
    <definedName name="_xlnm._FilterDatabase" localSheetId="2" hidden="1">'DETALLADO FORMULADO'!$A$5:$AL$38</definedName>
    <definedName name="_xlnm._FilterDatabase" localSheetId="1" hidden="1">RESUMIDO!$A$15:$W$30</definedName>
    <definedName name="_xlnm.Print_Area" localSheetId="1">RESUMIDO!$A$1:$N$15</definedName>
    <definedName name="_xlnm.Print_Titles" localSheetId="1">RESUMIDO!$1:$4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6" i="84" l="1"/>
  <c r="AA35" i="84"/>
  <c r="AA37" i="84" s="1"/>
  <c r="AA33" i="84"/>
  <c r="AA32" i="84"/>
  <c r="AA28" i="84"/>
  <c r="AA27" i="84"/>
  <c r="AA25" i="84"/>
  <c r="AA26" i="84" s="1"/>
  <c r="AA24" i="84"/>
  <c r="AA22" i="84"/>
  <c r="AA21" i="84"/>
  <c r="AA23" i="84" s="1"/>
  <c r="AA19" i="84"/>
  <c r="AA18" i="84"/>
  <c r="AA16" i="84"/>
  <c r="AA15" i="84"/>
  <c r="AA13" i="84"/>
  <c r="AA14" i="84" s="1"/>
  <c r="AA12" i="84"/>
  <c r="AA10" i="84"/>
  <c r="AA9" i="84"/>
  <c r="AA11" i="84" s="1"/>
  <c r="AA7" i="84"/>
  <c r="AA6" i="84"/>
  <c r="AJ31" i="82"/>
  <c r="AI31" i="82"/>
  <c r="AH31" i="82"/>
  <c r="AG31" i="82"/>
  <c r="AF31" i="82"/>
  <c r="AE31" i="82"/>
  <c r="AD31" i="82"/>
  <c r="AC31" i="82"/>
  <c r="AB31" i="82"/>
  <c r="AA31" i="82"/>
  <c r="Z31" i="82"/>
  <c r="Y31" i="82"/>
  <c r="X31" i="82"/>
  <c r="W31" i="82"/>
  <c r="V31" i="82"/>
  <c r="U31" i="82"/>
  <c r="T31" i="82"/>
  <c r="S31" i="82"/>
  <c r="AJ30" i="82"/>
  <c r="AI30" i="82"/>
  <c r="AH30" i="82"/>
  <c r="AG30" i="82"/>
  <c r="AF30" i="82"/>
  <c r="AE30" i="82"/>
  <c r="AD30" i="82"/>
  <c r="AC30" i="82"/>
  <c r="AB30" i="82"/>
  <c r="AA30" i="82"/>
  <c r="Z30" i="82"/>
  <c r="Y30" i="82"/>
  <c r="X30" i="82"/>
  <c r="W30" i="82"/>
  <c r="V30" i="82"/>
  <c r="U30" i="82"/>
  <c r="T30" i="82"/>
  <c r="S30" i="82"/>
  <c r="R34" i="82"/>
  <c r="AI32" i="82"/>
  <c r="AG32" i="82"/>
  <c r="AF32" i="82"/>
  <c r="AE32" i="82"/>
  <c r="AD32" i="82"/>
  <c r="X32" i="82"/>
  <c r="W32" i="82"/>
  <c r="V32" i="82"/>
  <c r="U32" i="82"/>
  <c r="T32" i="82"/>
  <c r="S32" i="82"/>
  <c r="AM32" i="82"/>
  <c r="AJ32" i="82" s="1"/>
  <c r="AM33" i="82"/>
  <c r="AD33" i="82" s="1"/>
  <c r="O35" i="82"/>
  <c r="O37" i="82" s="1"/>
  <c r="N35" i="82"/>
  <c r="N37" i="82" s="1"/>
  <c r="M35" i="82"/>
  <c r="M37" i="82" s="1"/>
  <c r="L35" i="82"/>
  <c r="L37" i="82" s="1"/>
  <c r="K35" i="82"/>
  <c r="K37" i="82" s="1"/>
  <c r="J35" i="82"/>
  <c r="J37" i="82" s="1"/>
  <c r="I35" i="82"/>
  <c r="I37" i="82" s="1"/>
  <c r="H35" i="82"/>
  <c r="H37" i="82" s="1"/>
  <c r="G35" i="82"/>
  <c r="G37" i="82" s="1"/>
  <c r="O32" i="82"/>
  <c r="O34" i="82" s="1"/>
  <c r="N32" i="82"/>
  <c r="N34" i="82" s="1"/>
  <c r="M32" i="82"/>
  <c r="M34" i="82" s="1"/>
  <c r="L32" i="82"/>
  <c r="L34" i="82" s="1"/>
  <c r="K32" i="82"/>
  <c r="K34" i="82" s="1"/>
  <c r="J32" i="82"/>
  <c r="J34" i="82" s="1"/>
  <c r="I32" i="82"/>
  <c r="I34" i="82" s="1"/>
  <c r="H32" i="82"/>
  <c r="H34" i="82" s="1"/>
  <c r="G32" i="82"/>
  <c r="G34" i="82" s="1"/>
  <c r="O27" i="82"/>
  <c r="O29" i="82" s="1"/>
  <c r="N27" i="82"/>
  <c r="N29" i="82" s="1"/>
  <c r="M27" i="82"/>
  <c r="M29" i="82" s="1"/>
  <c r="L27" i="82"/>
  <c r="L29" i="82" s="1"/>
  <c r="K27" i="82"/>
  <c r="K29" i="82" s="1"/>
  <c r="J27" i="82"/>
  <c r="J29" i="82" s="1"/>
  <c r="I27" i="82"/>
  <c r="I29" i="82" s="1"/>
  <c r="H27" i="82"/>
  <c r="H29" i="82" s="1"/>
  <c r="G27" i="82"/>
  <c r="G29" i="82" s="1"/>
  <c r="O24" i="82"/>
  <c r="O26" i="82" s="1"/>
  <c r="N24" i="82"/>
  <c r="N26" i="82" s="1"/>
  <c r="M24" i="82"/>
  <c r="M26" i="82" s="1"/>
  <c r="L24" i="82"/>
  <c r="L26" i="82" s="1"/>
  <c r="K24" i="82"/>
  <c r="K26" i="82" s="1"/>
  <c r="J24" i="82"/>
  <c r="J26" i="82" s="1"/>
  <c r="I24" i="82"/>
  <c r="I26" i="82" s="1"/>
  <c r="H24" i="82"/>
  <c r="H26" i="82" s="1"/>
  <c r="O12" i="82"/>
  <c r="O14" i="82" s="1"/>
  <c r="N12" i="82"/>
  <c r="N14" i="82" s="1"/>
  <c r="M12" i="82"/>
  <c r="M14" i="82" s="1"/>
  <c r="L12" i="82"/>
  <c r="L14" i="82" s="1"/>
  <c r="K12" i="82"/>
  <c r="K14" i="82" s="1"/>
  <c r="J12" i="82"/>
  <c r="J14" i="82" s="1"/>
  <c r="I12" i="82"/>
  <c r="I14" i="82" s="1"/>
  <c r="H12" i="82"/>
  <c r="H14" i="82" s="1"/>
  <c r="G12" i="82"/>
  <c r="G14" i="82" s="1"/>
  <c r="O21" i="82"/>
  <c r="O23" i="82" s="1"/>
  <c r="N21" i="82"/>
  <c r="N23" i="82" s="1"/>
  <c r="M21" i="82"/>
  <c r="M23" i="82" s="1"/>
  <c r="L21" i="82"/>
  <c r="L23" i="82" s="1"/>
  <c r="K21" i="82"/>
  <c r="K23" i="82" s="1"/>
  <c r="J21" i="82"/>
  <c r="J23" i="82" s="1"/>
  <c r="I21" i="82"/>
  <c r="I23" i="82" s="1"/>
  <c r="H21" i="82"/>
  <c r="H23" i="82" s="1"/>
  <c r="O18" i="82"/>
  <c r="O20" i="82" s="1"/>
  <c r="N18" i="82"/>
  <c r="N20" i="82" s="1"/>
  <c r="M18" i="82"/>
  <c r="M20" i="82" s="1"/>
  <c r="L18" i="82"/>
  <c r="L20" i="82" s="1"/>
  <c r="K18" i="82"/>
  <c r="K20" i="82" s="1"/>
  <c r="J18" i="82"/>
  <c r="J20" i="82" s="1"/>
  <c r="I18" i="82"/>
  <c r="I20" i="82" s="1"/>
  <c r="H18" i="82"/>
  <c r="H20" i="82" s="1"/>
  <c r="G18" i="82"/>
  <c r="G20" i="82" s="1"/>
  <c r="O15" i="82"/>
  <c r="O17" i="82" s="1"/>
  <c r="N15" i="82"/>
  <c r="N17" i="82" s="1"/>
  <c r="M15" i="82"/>
  <c r="M17" i="82" s="1"/>
  <c r="L15" i="82"/>
  <c r="L17" i="82" s="1"/>
  <c r="K15" i="82"/>
  <c r="K17" i="82" s="1"/>
  <c r="J15" i="82"/>
  <c r="J17" i="82" s="1"/>
  <c r="I15" i="82"/>
  <c r="I17" i="82" s="1"/>
  <c r="H15" i="82"/>
  <c r="H17" i="82" s="1"/>
  <c r="G15" i="82"/>
  <c r="G17" i="82" s="1"/>
  <c r="O9" i="82"/>
  <c r="O11" i="82" s="1"/>
  <c r="N9" i="82"/>
  <c r="N11" i="82" s="1"/>
  <c r="M9" i="82"/>
  <c r="M11" i="82" s="1"/>
  <c r="L9" i="82"/>
  <c r="L11" i="82" s="1"/>
  <c r="K9" i="82"/>
  <c r="K11" i="82" s="1"/>
  <c r="J9" i="82"/>
  <c r="J11" i="82" s="1"/>
  <c r="I9" i="82"/>
  <c r="I11" i="82" s="1"/>
  <c r="H9" i="82"/>
  <c r="H11" i="82" s="1"/>
  <c r="G9" i="82"/>
  <c r="G11" i="82" s="1"/>
  <c r="N6" i="82"/>
  <c r="N8" i="82" s="1"/>
  <c r="M6" i="82"/>
  <c r="M8" i="82" s="1"/>
  <c r="L6" i="82"/>
  <c r="L8" i="82" s="1"/>
  <c r="K6" i="82"/>
  <c r="K8" i="82" s="1"/>
  <c r="J6" i="82"/>
  <c r="J8" i="82" s="1"/>
  <c r="I6" i="82"/>
  <c r="I8" i="82" s="1"/>
  <c r="H6" i="82"/>
  <c r="H8" i="82" s="1"/>
  <c r="G6" i="82"/>
  <c r="G21" i="82"/>
  <c r="G23" i="82" s="1"/>
  <c r="G24" i="82"/>
  <c r="G26" i="82" s="1"/>
  <c r="O6" i="82"/>
  <c r="O8" i="82" s="1"/>
  <c r="F37" i="82"/>
  <c r="AL36" i="82"/>
  <c r="R35" i="82"/>
  <c r="AL35" i="82" s="1"/>
  <c r="AL37" i="82" s="1"/>
  <c r="F34" i="82"/>
  <c r="AL31" i="82"/>
  <c r="AL33" i="82"/>
  <c r="AL32" i="82"/>
  <c r="AL30" i="82"/>
  <c r="AL34" i="82" s="1"/>
  <c r="R29" i="82"/>
  <c r="AM28" i="82" s="1"/>
  <c r="F29" i="82"/>
  <c r="AL28" i="82"/>
  <c r="AL27" i="82"/>
  <c r="F26" i="82"/>
  <c r="AL25" i="82"/>
  <c r="R24" i="82"/>
  <c r="AL24" i="82" s="1"/>
  <c r="R23" i="82"/>
  <c r="AM21" i="82" s="1"/>
  <c r="AC21" i="82" s="1"/>
  <c r="F23" i="82"/>
  <c r="AL22" i="82"/>
  <c r="AL21" i="82"/>
  <c r="AL23" i="82" s="1"/>
  <c r="R20" i="82"/>
  <c r="AM18" i="82" s="1"/>
  <c r="AF18" i="82" s="1"/>
  <c r="F20" i="82"/>
  <c r="AL19" i="82"/>
  <c r="AL18" i="82"/>
  <c r="F17" i="82"/>
  <c r="AL16" i="82"/>
  <c r="R15" i="82"/>
  <c r="R14" i="82"/>
  <c r="AM12" i="82" s="1"/>
  <c r="AD12" i="82" s="1"/>
  <c r="F14" i="82"/>
  <c r="AL13" i="82"/>
  <c r="AL12" i="82"/>
  <c r="R11" i="82"/>
  <c r="AM9" i="82" s="1"/>
  <c r="AG9" i="82" s="1"/>
  <c r="F11" i="82"/>
  <c r="AL10" i="82"/>
  <c r="AL9" i="82"/>
  <c r="R8" i="82"/>
  <c r="AM6" i="82" s="1"/>
  <c r="AC6" i="82" s="1"/>
  <c r="F8" i="82"/>
  <c r="AL7" i="82"/>
  <c r="AL6" i="82"/>
  <c r="AA17" i="84" l="1"/>
  <c r="AA29" i="84"/>
  <c r="AA8" i="84"/>
  <c r="AA20" i="84"/>
  <c r="AA34" i="84"/>
  <c r="W34" i="82"/>
  <c r="Y32" i="82"/>
  <c r="AA32" i="82"/>
  <c r="AA34" i="82" s="1"/>
  <c r="AC32" i="82"/>
  <c r="AC34" i="82" s="1"/>
  <c r="U34" i="82"/>
  <c r="AD34" i="82"/>
  <c r="Z34" i="82"/>
  <c r="AK31" i="82"/>
  <c r="AI34" i="82"/>
  <c r="AG34" i="82"/>
  <c r="Y34" i="82"/>
  <c r="AK30" i="82"/>
  <c r="W33" i="82"/>
  <c r="AE33" i="82"/>
  <c r="AE34" i="82" s="1"/>
  <c r="Z32" i="82"/>
  <c r="AH32" i="82"/>
  <c r="AH34" i="82" s="1"/>
  <c r="X33" i="82"/>
  <c r="X34" i="82" s="1"/>
  <c r="AF33" i="82"/>
  <c r="AF34" i="82" s="1"/>
  <c r="Y33" i="82"/>
  <c r="AG33" i="82"/>
  <c r="AL20" i="82"/>
  <c r="AL26" i="82"/>
  <c r="AB32" i="82"/>
  <c r="AB34" i="82" s="1"/>
  <c r="Z33" i="82"/>
  <c r="AH33" i="82"/>
  <c r="S33" i="82"/>
  <c r="S34" i="82" s="1"/>
  <c r="AA33" i="82"/>
  <c r="AI33" i="82"/>
  <c r="T33" i="82"/>
  <c r="T34" i="82" s="1"/>
  <c r="AB33" i="82"/>
  <c r="AJ33" i="82"/>
  <c r="AJ34" i="82" s="1"/>
  <c r="U33" i="82"/>
  <c r="AC33" i="82"/>
  <c r="V33" i="82"/>
  <c r="AK33" i="82" s="1"/>
  <c r="AL14" i="82"/>
  <c r="AL29" i="82"/>
  <c r="V6" i="82"/>
  <c r="AD6" i="82"/>
  <c r="Z9" i="82"/>
  <c r="AH9" i="82"/>
  <c r="W12" i="82"/>
  <c r="AE12" i="82"/>
  <c r="Y18" i="82"/>
  <c r="AG18" i="82"/>
  <c r="V21" i="82"/>
  <c r="AD21" i="82"/>
  <c r="S28" i="82"/>
  <c r="AA28" i="82"/>
  <c r="AI28" i="82"/>
  <c r="W6" i="82"/>
  <c r="AE6" i="82"/>
  <c r="S9" i="82"/>
  <c r="AA9" i="82"/>
  <c r="AI9" i="82"/>
  <c r="X12" i="82"/>
  <c r="AF12" i="82"/>
  <c r="Z18" i="82"/>
  <c r="AH18" i="82"/>
  <c r="W21" i="82"/>
  <c r="AE21" i="82"/>
  <c r="T28" i="82"/>
  <c r="AB28" i="82"/>
  <c r="AJ28" i="82"/>
  <c r="X6" i="82"/>
  <c r="AF6" i="82"/>
  <c r="T9" i="82"/>
  <c r="AB9" i="82"/>
  <c r="AJ9" i="82"/>
  <c r="Y12" i="82"/>
  <c r="AG12" i="82"/>
  <c r="S18" i="82"/>
  <c r="AA18" i="82"/>
  <c r="AI18" i="82"/>
  <c r="X21" i="82"/>
  <c r="AF21" i="82"/>
  <c r="U28" i="82"/>
  <c r="AC28" i="82"/>
  <c r="Y6" i="82"/>
  <c r="AG6" i="82"/>
  <c r="U9" i="82"/>
  <c r="AC9" i="82"/>
  <c r="Z12" i="82"/>
  <c r="AH12" i="82"/>
  <c r="T18" i="82"/>
  <c r="AB18" i="82"/>
  <c r="AJ18" i="82"/>
  <c r="Y21" i="82"/>
  <c r="AG21" i="82"/>
  <c r="V28" i="82"/>
  <c r="AD28" i="82"/>
  <c r="S6" i="82"/>
  <c r="Z6" i="82"/>
  <c r="AH6" i="82"/>
  <c r="V9" i="82"/>
  <c r="AD9" i="82"/>
  <c r="S12" i="82"/>
  <c r="AA12" i="82"/>
  <c r="AI12" i="82"/>
  <c r="U18" i="82"/>
  <c r="AC18" i="82"/>
  <c r="Z21" i="82"/>
  <c r="AH21" i="82"/>
  <c r="W28" i="82"/>
  <c r="AE28" i="82"/>
  <c r="AA6" i="82"/>
  <c r="AI6" i="82"/>
  <c r="W9" i="82"/>
  <c r="AE9" i="82"/>
  <c r="T12" i="82"/>
  <c r="AB12" i="82"/>
  <c r="AJ12" i="82"/>
  <c r="V18" i="82"/>
  <c r="AD18" i="82"/>
  <c r="S21" i="82"/>
  <c r="AA21" i="82"/>
  <c r="AI21" i="82"/>
  <c r="X28" i="82"/>
  <c r="AF28" i="82"/>
  <c r="T6" i="82"/>
  <c r="AB6" i="82"/>
  <c r="AJ6" i="82"/>
  <c r="X9" i="82"/>
  <c r="AF9" i="82"/>
  <c r="U12" i="82"/>
  <c r="AC12" i="82"/>
  <c r="W18" i="82"/>
  <c r="AE18" i="82"/>
  <c r="T21" i="82"/>
  <c r="AB21" i="82"/>
  <c r="AJ21" i="82"/>
  <c r="Y28" i="82"/>
  <c r="AG28" i="82"/>
  <c r="U6" i="82"/>
  <c r="Y9" i="82"/>
  <c r="V12" i="82"/>
  <c r="X18" i="82"/>
  <c r="U21" i="82"/>
  <c r="Z28" i="82"/>
  <c r="AH28" i="82"/>
  <c r="H38" i="82"/>
  <c r="J38" i="82"/>
  <c r="N38" i="82"/>
  <c r="K38" i="82"/>
  <c r="I38" i="82"/>
  <c r="L38" i="82"/>
  <c r="O38" i="82"/>
  <c r="M38" i="82"/>
  <c r="P35" i="82"/>
  <c r="G8" i="82"/>
  <c r="G38" i="82" s="1"/>
  <c r="P32" i="82"/>
  <c r="P27" i="82"/>
  <c r="P24" i="82"/>
  <c r="P12" i="82"/>
  <c r="P15" i="82"/>
  <c r="P6" i="82"/>
  <c r="P9" i="82"/>
  <c r="P21" i="82"/>
  <c r="P18" i="82"/>
  <c r="AM7" i="82"/>
  <c r="AM8" i="82" s="1"/>
  <c r="AM19" i="82"/>
  <c r="AM27" i="82"/>
  <c r="AM10" i="82"/>
  <c r="AL8" i="82"/>
  <c r="F38" i="82"/>
  <c r="R17" i="82"/>
  <c r="AM16" i="82" s="1"/>
  <c r="AM22" i="82"/>
  <c r="R26" i="82"/>
  <c r="AM25" i="82" s="1"/>
  <c r="AM13" i="82"/>
  <c r="AL11" i="82"/>
  <c r="R37" i="82"/>
  <c r="AM36" i="82" s="1"/>
  <c r="AL15" i="82"/>
  <c r="AL17" i="82" s="1"/>
  <c r="Z39" i="84" l="1"/>
  <c r="V34" i="82"/>
  <c r="AK32" i="82"/>
  <c r="AK34" i="82" s="1"/>
  <c r="AK6" i="82"/>
  <c r="AH36" i="82"/>
  <c r="Z36" i="82"/>
  <c r="AG36" i="82"/>
  <c r="Y36" i="82"/>
  <c r="AF36" i="82"/>
  <c r="X36" i="82"/>
  <c r="AE36" i="82"/>
  <c r="W36" i="82"/>
  <c r="AD36" i="82"/>
  <c r="V36" i="82"/>
  <c r="AC36" i="82"/>
  <c r="U36" i="82"/>
  <c r="AJ36" i="82"/>
  <c r="AB36" i="82"/>
  <c r="T36" i="82"/>
  <c r="AI36" i="82"/>
  <c r="AA36" i="82"/>
  <c r="S36" i="82"/>
  <c r="AL38" i="82"/>
  <c r="AM29" i="82"/>
  <c r="AF27" i="82"/>
  <c r="AF29" i="82" s="1"/>
  <c r="X27" i="82"/>
  <c r="X29" i="82" s="1"/>
  <c r="AE27" i="82"/>
  <c r="AE29" i="82" s="1"/>
  <c r="W27" i="82"/>
  <c r="W29" i="82" s="1"/>
  <c r="AD27" i="82"/>
  <c r="AD29" i="82" s="1"/>
  <c r="V27" i="82"/>
  <c r="V29" i="82" s="1"/>
  <c r="AC27" i="82"/>
  <c r="AC29" i="82" s="1"/>
  <c r="U27" i="82"/>
  <c r="U29" i="82" s="1"/>
  <c r="AJ27" i="82"/>
  <c r="AJ29" i="82" s="1"/>
  <c r="AB27" i="82"/>
  <c r="T27" i="82"/>
  <c r="T29" i="82" s="1"/>
  <c r="AI27" i="82"/>
  <c r="AI29" i="82" s="1"/>
  <c r="AA27" i="82"/>
  <c r="AA29" i="82" s="1"/>
  <c r="S27" i="82"/>
  <c r="AH27" i="82"/>
  <c r="AH29" i="82" s="1"/>
  <c r="Z27" i="82"/>
  <c r="Z29" i="82" s="1"/>
  <c r="AG27" i="82"/>
  <c r="AG29" i="82" s="1"/>
  <c r="Y27" i="82"/>
  <c r="Y29" i="82" s="1"/>
  <c r="AK21" i="82"/>
  <c r="AM20" i="82"/>
  <c r="AD19" i="82"/>
  <c r="AD20" i="82" s="1"/>
  <c r="V19" i="82"/>
  <c r="AC19" i="82"/>
  <c r="AC20" i="82" s="1"/>
  <c r="U19" i="82"/>
  <c r="U20" i="82" s="1"/>
  <c r="AJ19" i="82"/>
  <c r="AJ20" i="82" s="1"/>
  <c r="AB19" i="82"/>
  <c r="AB20" i="82" s="1"/>
  <c r="T19" i="82"/>
  <c r="T20" i="82" s="1"/>
  <c r="AI19" i="82"/>
  <c r="AI20" i="82" s="1"/>
  <c r="AA19" i="82"/>
  <c r="AA20" i="82" s="1"/>
  <c r="S19" i="82"/>
  <c r="S20" i="82" s="1"/>
  <c r="AH19" i="82"/>
  <c r="AH20" i="82" s="1"/>
  <c r="Z19" i="82"/>
  <c r="Z20" i="82" s="1"/>
  <c r="AG19" i="82"/>
  <c r="AG20" i="82" s="1"/>
  <c r="Y19" i="82"/>
  <c r="Y20" i="82" s="1"/>
  <c r="AF19" i="82"/>
  <c r="AF20" i="82" s="1"/>
  <c r="X19" i="82"/>
  <c r="X20" i="82" s="1"/>
  <c r="AE19" i="82"/>
  <c r="AE20" i="82" s="1"/>
  <c r="W19" i="82"/>
  <c r="W20" i="82" s="1"/>
  <c r="AK18" i="82"/>
  <c r="AM14" i="82"/>
  <c r="AJ13" i="82"/>
  <c r="AJ14" i="82" s="1"/>
  <c r="AB13" i="82"/>
  <c r="AB14" i="82" s="1"/>
  <c r="T13" i="82"/>
  <c r="AI13" i="82"/>
  <c r="AI14" i="82" s="1"/>
  <c r="AA13" i="82"/>
  <c r="AA14" i="82" s="1"/>
  <c r="S13" i="82"/>
  <c r="S14" i="82" s="1"/>
  <c r="AH13" i="82"/>
  <c r="AH14" i="82" s="1"/>
  <c r="Z13" i="82"/>
  <c r="Z14" i="82" s="1"/>
  <c r="AG13" i="82"/>
  <c r="AG14" i="82" s="1"/>
  <c r="Y13" i="82"/>
  <c r="Y14" i="82" s="1"/>
  <c r="AF13" i="82"/>
  <c r="AF14" i="82" s="1"/>
  <c r="X13" i="82"/>
  <c r="AE13" i="82"/>
  <c r="AE14" i="82" s="1"/>
  <c r="W13" i="82"/>
  <c r="W14" i="82" s="1"/>
  <c r="AD13" i="82"/>
  <c r="AD14" i="82" s="1"/>
  <c r="V13" i="82"/>
  <c r="V14" i="82" s="1"/>
  <c r="AC13" i="82"/>
  <c r="U13" i="82"/>
  <c r="U14" i="82" s="1"/>
  <c r="AD25" i="82"/>
  <c r="V25" i="82"/>
  <c r="AC25" i="82"/>
  <c r="U25" i="82"/>
  <c r="AJ25" i="82"/>
  <c r="AB25" i="82"/>
  <c r="T25" i="82"/>
  <c r="AI25" i="82"/>
  <c r="AA25" i="82"/>
  <c r="S25" i="82"/>
  <c r="AH25" i="82"/>
  <c r="Z25" i="82"/>
  <c r="AG25" i="82"/>
  <c r="Y25" i="82"/>
  <c r="AF25" i="82"/>
  <c r="X25" i="82"/>
  <c r="AE25" i="82"/>
  <c r="W25" i="82"/>
  <c r="AJ7" i="82"/>
  <c r="AJ8" i="82" s="1"/>
  <c r="AB7" i="82"/>
  <c r="AB8" i="82" s="1"/>
  <c r="T7" i="82"/>
  <c r="T8" i="82" s="1"/>
  <c r="AI7" i="82"/>
  <c r="AI8" i="82" s="1"/>
  <c r="AA7" i="82"/>
  <c r="AA8" i="82" s="1"/>
  <c r="AH7" i="82"/>
  <c r="AH8" i="82" s="1"/>
  <c r="Z7" i="82"/>
  <c r="Z8" i="82" s="1"/>
  <c r="S7" i="82"/>
  <c r="S8" i="82" s="1"/>
  <c r="AG7" i="82"/>
  <c r="AG8" i="82" s="1"/>
  <c r="Y7" i="82"/>
  <c r="Y8" i="82" s="1"/>
  <c r="AF7" i="82"/>
  <c r="AF8" i="82" s="1"/>
  <c r="X7" i="82"/>
  <c r="X8" i="82" s="1"/>
  <c r="AE7" i="82"/>
  <c r="AE8" i="82" s="1"/>
  <c r="W7" i="82"/>
  <c r="W8" i="82" s="1"/>
  <c r="AD7" i="82"/>
  <c r="AD8" i="82" s="1"/>
  <c r="V7" i="82"/>
  <c r="V8" i="82" s="1"/>
  <c r="AC7" i="82"/>
  <c r="AC8" i="82" s="1"/>
  <c r="U7" i="82"/>
  <c r="U8" i="82" s="1"/>
  <c r="AK9" i="82"/>
  <c r="X14" i="82"/>
  <c r="AM11" i="82"/>
  <c r="AE10" i="82"/>
  <c r="AE11" i="82" s="1"/>
  <c r="W10" i="82"/>
  <c r="W11" i="82" s="1"/>
  <c r="AD10" i="82"/>
  <c r="AD11" i="82" s="1"/>
  <c r="V10" i="82"/>
  <c r="V11" i="82" s="1"/>
  <c r="AC10" i="82"/>
  <c r="AC11" i="82" s="1"/>
  <c r="U10" i="82"/>
  <c r="U11" i="82" s="1"/>
  <c r="AJ10" i="82"/>
  <c r="AB10" i="82"/>
  <c r="AB11" i="82" s="1"/>
  <c r="T10" i="82"/>
  <c r="T11" i="82" s="1"/>
  <c r="AI10" i="82"/>
  <c r="AI11" i="82" s="1"/>
  <c r="AA10" i="82"/>
  <c r="AA11" i="82" s="1"/>
  <c r="S10" i="82"/>
  <c r="AH10" i="82"/>
  <c r="AH11" i="82" s="1"/>
  <c r="Z10" i="82"/>
  <c r="Z11" i="82" s="1"/>
  <c r="AG10" i="82"/>
  <c r="AG11" i="82" s="1"/>
  <c r="Y10" i="82"/>
  <c r="Y11" i="82" s="1"/>
  <c r="AF10" i="82"/>
  <c r="X10" i="82"/>
  <c r="X11" i="82" s="1"/>
  <c r="AM23" i="82"/>
  <c r="AI22" i="82"/>
  <c r="AI23" i="82" s="1"/>
  <c r="AA22" i="82"/>
  <c r="AA23" i="82" s="1"/>
  <c r="S22" i="82"/>
  <c r="AH22" i="82"/>
  <c r="AH23" i="82" s="1"/>
  <c r="Z22" i="82"/>
  <c r="Z23" i="82" s="1"/>
  <c r="AG22" i="82"/>
  <c r="AG23" i="82" s="1"/>
  <c r="Y22" i="82"/>
  <c r="Y23" i="82" s="1"/>
  <c r="AF22" i="82"/>
  <c r="AF23" i="82" s="1"/>
  <c r="X22" i="82"/>
  <c r="X23" i="82" s="1"/>
  <c r="AE22" i="82"/>
  <c r="AE23" i="82" s="1"/>
  <c r="W22" i="82"/>
  <c r="W23" i="82" s="1"/>
  <c r="AD22" i="82"/>
  <c r="AD23" i="82" s="1"/>
  <c r="V22" i="82"/>
  <c r="V23" i="82" s="1"/>
  <c r="AC22" i="82"/>
  <c r="AC23" i="82" s="1"/>
  <c r="U22" i="82"/>
  <c r="U23" i="82" s="1"/>
  <c r="AJ22" i="82"/>
  <c r="AJ23" i="82" s="1"/>
  <c r="AB22" i="82"/>
  <c r="AB23" i="82" s="1"/>
  <c r="T22" i="82"/>
  <c r="T23" i="82" s="1"/>
  <c r="AK12" i="82"/>
  <c r="AJ11" i="82"/>
  <c r="AB29" i="82"/>
  <c r="AC14" i="82"/>
  <c r="AI16" i="82"/>
  <c r="AA16" i="82"/>
  <c r="S16" i="82"/>
  <c r="AH16" i="82"/>
  <c r="Z16" i="82"/>
  <c r="AG16" i="82"/>
  <c r="Y16" i="82"/>
  <c r="AF16" i="82"/>
  <c r="X16" i="82"/>
  <c r="AE16" i="82"/>
  <c r="W16" i="82"/>
  <c r="AD16" i="82"/>
  <c r="V16" i="82"/>
  <c r="AC16" i="82"/>
  <c r="U16" i="82"/>
  <c r="AJ16" i="82"/>
  <c r="AB16" i="82"/>
  <c r="T16" i="82"/>
  <c r="AF11" i="82"/>
  <c r="T14" i="82"/>
  <c r="AK28" i="82"/>
  <c r="P11" i="82"/>
  <c r="P14" i="82"/>
  <c r="P37" i="82"/>
  <c r="P26" i="82"/>
  <c r="P8" i="82"/>
  <c r="P17" i="82"/>
  <c r="P29" i="82"/>
  <c r="P23" i="82"/>
  <c r="P20" i="82"/>
  <c r="P34" i="82"/>
  <c r="AM24" i="82"/>
  <c r="R38" i="82"/>
  <c r="AM15" i="82"/>
  <c r="AM34" i="82"/>
  <c r="AM35" i="82"/>
  <c r="O15" i="79"/>
  <c r="P15" i="79"/>
  <c r="Q15" i="79"/>
  <c r="R15" i="79"/>
  <c r="S15" i="79"/>
  <c r="T15" i="79"/>
  <c r="U15" i="79"/>
  <c r="V15" i="79"/>
  <c r="W15" i="79"/>
  <c r="F28" i="79"/>
  <c r="G28" i="79"/>
  <c r="G29" i="79" s="1"/>
  <c r="G30" i="79" s="1"/>
  <c r="H28" i="79"/>
  <c r="I28" i="79"/>
  <c r="J28" i="79"/>
  <c r="K28" i="79"/>
  <c r="L28" i="79"/>
  <c r="M28" i="79"/>
  <c r="N28" i="79"/>
  <c r="O28" i="79"/>
  <c r="P28" i="79"/>
  <c r="Q28" i="79"/>
  <c r="R28" i="79"/>
  <c r="S28" i="79"/>
  <c r="T28" i="79"/>
  <c r="U28" i="79"/>
  <c r="V28" i="79"/>
  <c r="W28" i="79"/>
  <c r="E28" i="79"/>
  <c r="AM37" i="82" l="1"/>
  <c r="AF35" i="82"/>
  <c r="AF37" i="82" s="1"/>
  <c r="X35" i="82"/>
  <c r="X37" i="82" s="1"/>
  <c r="AE35" i="82"/>
  <c r="AE37" i="82" s="1"/>
  <c r="W35" i="82"/>
  <c r="W37" i="82" s="1"/>
  <c r="AD35" i="82"/>
  <c r="AD37" i="82" s="1"/>
  <c r="V35" i="82"/>
  <c r="V37" i="82" s="1"/>
  <c r="AC35" i="82"/>
  <c r="AC37" i="82" s="1"/>
  <c r="U35" i="82"/>
  <c r="U37" i="82" s="1"/>
  <c r="AJ35" i="82"/>
  <c r="AJ37" i="82" s="1"/>
  <c r="AB35" i="82"/>
  <c r="AB37" i="82" s="1"/>
  <c r="T35" i="82"/>
  <c r="T37" i="82" s="1"/>
  <c r="AI35" i="82"/>
  <c r="AI37" i="82" s="1"/>
  <c r="AA35" i="82"/>
  <c r="AA37" i="82" s="1"/>
  <c r="S35" i="82"/>
  <c r="AH35" i="82"/>
  <c r="AH37" i="82" s="1"/>
  <c r="Z35" i="82"/>
  <c r="Z37" i="82" s="1"/>
  <c r="AG35" i="82"/>
  <c r="AG37" i="82" s="1"/>
  <c r="Y35" i="82"/>
  <c r="Y37" i="82" s="1"/>
  <c r="AK10" i="82"/>
  <c r="S11" i="82"/>
  <c r="AK27" i="82"/>
  <c r="S29" i="82"/>
  <c r="AM17" i="82"/>
  <c r="AE15" i="82"/>
  <c r="AE17" i="82" s="1"/>
  <c r="W15" i="82"/>
  <c r="W17" i="82" s="1"/>
  <c r="AD15" i="82"/>
  <c r="AD17" i="82" s="1"/>
  <c r="V15" i="82"/>
  <c r="V17" i="82" s="1"/>
  <c r="AC15" i="82"/>
  <c r="AC17" i="82" s="1"/>
  <c r="U15" i="82"/>
  <c r="U17" i="82" s="1"/>
  <c r="AJ15" i="82"/>
  <c r="AJ17" i="82" s="1"/>
  <c r="AB15" i="82"/>
  <c r="AB17" i="82" s="1"/>
  <c r="T15" i="82"/>
  <c r="T17" i="82" s="1"/>
  <c r="AI15" i="82"/>
  <c r="AI17" i="82" s="1"/>
  <c r="AA15" i="82"/>
  <c r="AA17" i="82" s="1"/>
  <c r="S15" i="82"/>
  <c r="AH15" i="82"/>
  <c r="AH17" i="82" s="1"/>
  <c r="Z15" i="82"/>
  <c r="Z17" i="82" s="1"/>
  <c r="AG15" i="82"/>
  <c r="AG17" i="82" s="1"/>
  <c r="Y15" i="82"/>
  <c r="Y17" i="82" s="1"/>
  <c r="AF15" i="82"/>
  <c r="AF17" i="82" s="1"/>
  <c r="X15" i="82"/>
  <c r="X17" i="82" s="1"/>
  <c r="AK19" i="82"/>
  <c r="V20" i="82"/>
  <c r="AK36" i="82"/>
  <c r="AM26" i="82"/>
  <c r="AF24" i="82"/>
  <c r="AF26" i="82" s="1"/>
  <c r="X24" i="82"/>
  <c r="X26" i="82" s="1"/>
  <c r="AE24" i="82"/>
  <c r="AE26" i="82" s="1"/>
  <c r="W24" i="82"/>
  <c r="W26" i="82" s="1"/>
  <c r="AD24" i="82"/>
  <c r="AD26" i="82" s="1"/>
  <c r="V24" i="82"/>
  <c r="V26" i="82" s="1"/>
  <c r="AC24" i="82"/>
  <c r="AC26" i="82" s="1"/>
  <c r="U24" i="82"/>
  <c r="U26" i="82" s="1"/>
  <c r="AJ24" i="82"/>
  <c r="AJ26" i="82" s="1"/>
  <c r="AB24" i="82"/>
  <c r="AB26" i="82" s="1"/>
  <c r="T24" i="82"/>
  <c r="T26" i="82" s="1"/>
  <c r="AI24" i="82"/>
  <c r="AI26" i="82" s="1"/>
  <c r="AA24" i="82"/>
  <c r="AA26" i="82" s="1"/>
  <c r="S24" i="82"/>
  <c r="AH24" i="82"/>
  <c r="AH26" i="82" s="1"/>
  <c r="Z24" i="82"/>
  <c r="Z26" i="82" s="1"/>
  <c r="AG24" i="82"/>
  <c r="AG26" i="82" s="1"/>
  <c r="Y24" i="82"/>
  <c r="Y26" i="82" s="1"/>
  <c r="AK16" i="82"/>
  <c r="AK7" i="82"/>
  <c r="AK25" i="82"/>
  <c r="AK22" i="82"/>
  <c r="S23" i="82"/>
  <c r="AK13" i="82"/>
  <c r="P38" i="82"/>
  <c r="P29" i="79"/>
  <c r="O29" i="79"/>
  <c r="O30" i="79" s="1"/>
  <c r="V29" i="79"/>
  <c r="U29" i="79"/>
  <c r="T29" i="79"/>
  <c r="W29" i="79"/>
  <c r="S29" i="79"/>
  <c r="R29" i="79"/>
  <c r="Q29" i="79"/>
  <c r="F15" i="79"/>
  <c r="F29" i="79" s="1"/>
  <c r="F30" i="79" s="1"/>
  <c r="H15" i="79"/>
  <c r="H29" i="79" s="1"/>
  <c r="H30" i="79" s="1"/>
  <c r="I15" i="79"/>
  <c r="I29" i="79" s="1"/>
  <c r="I30" i="79" s="1"/>
  <c r="J15" i="79"/>
  <c r="J29" i="79" s="1"/>
  <c r="J30" i="79" s="1"/>
  <c r="K15" i="79"/>
  <c r="K29" i="79" s="1"/>
  <c r="K30" i="79" s="1"/>
  <c r="L15" i="79"/>
  <c r="L29" i="79" s="1"/>
  <c r="L30" i="79" s="1"/>
  <c r="M15" i="79"/>
  <c r="M29" i="79" s="1"/>
  <c r="M30" i="79" s="1"/>
  <c r="N15" i="79"/>
  <c r="N29" i="79" s="1"/>
  <c r="N30" i="79" s="1"/>
  <c r="E15" i="79"/>
  <c r="E29" i="79" s="1"/>
  <c r="AH38" i="82" l="1"/>
  <c r="AL39" i="82"/>
  <c r="AK23" i="82"/>
  <c r="AK14" i="82"/>
  <c r="AK11" i="82"/>
  <c r="U38" i="82"/>
  <c r="V38" i="82"/>
  <c r="AE38" i="82"/>
  <c r="AC38" i="82"/>
  <c r="AA38" i="82"/>
  <c r="AD38" i="82"/>
  <c r="Y38" i="82"/>
  <c r="X38" i="82"/>
  <c r="AI38" i="82"/>
  <c r="W38" i="82"/>
  <c r="AG38" i="82"/>
  <c r="Z38" i="82"/>
  <c r="AJ38" i="82"/>
  <c r="AF38" i="82"/>
  <c r="AK24" i="82"/>
  <c r="S26" i="82"/>
  <c r="AK15" i="82"/>
  <c r="S17" i="82"/>
  <c r="AK29" i="82"/>
  <c r="AK8" i="82"/>
  <c r="T38" i="82"/>
  <c r="AK35" i="82"/>
  <c r="S37" i="82"/>
  <c r="AB38" i="82"/>
  <c r="AK20" i="82"/>
  <c r="BS65" i="65"/>
  <c r="BS66" i="65"/>
  <c r="BS67" i="65"/>
  <c r="BS68" i="65"/>
  <c r="BS69" i="65"/>
  <c r="BS70" i="65"/>
  <c r="BS71" i="65"/>
  <c r="BS72" i="65"/>
  <c r="BS73" i="65"/>
  <c r="BS64" i="65"/>
  <c r="BN65" i="65"/>
  <c r="BN66" i="65"/>
  <c r="BN67" i="65"/>
  <c r="BN68" i="65"/>
  <c r="BN69" i="65"/>
  <c r="BN70" i="65"/>
  <c r="BN71" i="65"/>
  <c r="BN72" i="65"/>
  <c r="BN73" i="65"/>
  <c r="BN64" i="65"/>
  <c r="BI65" i="65"/>
  <c r="BI66" i="65"/>
  <c r="BI67" i="65"/>
  <c r="BI68" i="65"/>
  <c r="BI69" i="65"/>
  <c r="BI70" i="65"/>
  <c r="BI71" i="65"/>
  <c r="BI72" i="65"/>
  <c r="BI73" i="65"/>
  <c r="BI64" i="65"/>
  <c r="BD65" i="65"/>
  <c r="BD66" i="65"/>
  <c r="BD67" i="65"/>
  <c r="BD68" i="65"/>
  <c r="BD69" i="65"/>
  <c r="BD70" i="65"/>
  <c r="BD71" i="65"/>
  <c r="BD72" i="65"/>
  <c r="BD73" i="65"/>
  <c r="BD64" i="65"/>
  <c r="K64" i="65"/>
  <c r="F64" i="65"/>
  <c r="D50" i="65" s="1"/>
  <c r="AK37" i="82" l="1"/>
  <c r="S38" i="82"/>
  <c r="AK17" i="82"/>
  <c r="AK26" i="82"/>
  <c r="K65" i="65"/>
  <c r="K66" i="65"/>
  <c r="K67" i="65"/>
  <c r="K68" i="65"/>
  <c r="K69" i="65"/>
  <c r="K70" i="65"/>
  <c r="K71" i="65"/>
  <c r="K72" i="65"/>
  <c r="K73" i="65"/>
  <c r="F65" i="65"/>
  <c r="D51" i="65" s="1"/>
  <c r="F66" i="65"/>
  <c r="F67" i="65"/>
  <c r="F68" i="65"/>
  <c r="F69" i="65"/>
  <c r="D55" i="65" s="1"/>
  <c r="H55" i="65" s="1"/>
  <c r="F70" i="65"/>
  <c r="F71" i="65"/>
  <c r="F72" i="65"/>
  <c r="F73" i="65"/>
  <c r="D59" i="65" s="1"/>
  <c r="H59" i="65" s="1"/>
  <c r="C45" i="65"/>
  <c r="G45" i="65"/>
  <c r="F45" i="65"/>
  <c r="E45" i="65"/>
  <c r="D45" i="65"/>
  <c r="H44" i="65"/>
  <c r="H43" i="65"/>
  <c r="H42" i="65"/>
  <c r="H41" i="65"/>
  <c r="H40" i="65"/>
  <c r="H39" i="65"/>
  <c r="H38" i="65"/>
  <c r="H37" i="65"/>
  <c r="H36" i="65"/>
  <c r="H35" i="65"/>
  <c r="G31" i="65"/>
  <c r="F31" i="65"/>
  <c r="E31" i="65"/>
  <c r="D31" i="65"/>
  <c r="C31" i="65"/>
  <c r="H30" i="65"/>
  <c r="H29" i="65"/>
  <c r="H28" i="65"/>
  <c r="H27" i="65"/>
  <c r="H26" i="65"/>
  <c r="H25" i="65"/>
  <c r="H24" i="65"/>
  <c r="H23" i="65"/>
  <c r="H22" i="65"/>
  <c r="H21" i="65"/>
  <c r="G60" i="65"/>
  <c r="F60" i="65"/>
  <c r="E60" i="65"/>
  <c r="AK38" i="82" l="1"/>
  <c r="G66" i="65"/>
  <c r="G64" i="65"/>
  <c r="D58" i="65"/>
  <c r="H58" i="65" s="1"/>
  <c r="D57" i="65"/>
  <c r="H57" i="65" s="1"/>
  <c r="D53" i="65"/>
  <c r="H53" i="65" s="1"/>
  <c r="D56" i="65"/>
  <c r="H56" i="65" s="1"/>
  <c r="H51" i="65"/>
  <c r="D54" i="65"/>
  <c r="H54" i="65" s="1"/>
  <c r="D52" i="65"/>
  <c r="H52" i="65" s="1"/>
  <c r="G73" i="65"/>
  <c r="G72" i="65"/>
  <c r="G65" i="65"/>
  <c r="G70" i="65"/>
  <c r="G69" i="65"/>
  <c r="G71" i="65"/>
  <c r="G68" i="65"/>
  <c r="G67" i="65"/>
  <c r="H45" i="65"/>
  <c r="H50" i="65"/>
  <c r="H31" i="65"/>
  <c r="H64" i="65" l="1"/>
  <c r="D60" i="65"/>
  <c r="H60" i="65"/>
  <c r="C51" i="65" s="1"/>
  <c r="AY65" i="65" s="1"/>
  <c r="C16" i="65"/>
  <c r="E65" i="65"/>
  <c r="E66" i="65"/>
  <c r="E67" i="65"/>
  <c r="E68" i="65"/>
  <c r="E69" i="65"/>
  <c r="E70" i="65"/>
  <c r="E71" i="65"/>
  <c r="E72" i="65"/>
  <c r="E73" i="65"/>
  <c r="E64" i="65"/>
  <c r="D74" i="65"/>
  <c r="C59" i="65" l="1"/>
  <c r="C55" i="65"/>
  <c r="AY69" i="65" s="1"/>
  <c r="C50" i="65"/>
  <c r="C52" i="65"/>
  <c r="C57" i="65"/>
  <c r="AY71" i="65" s="1"/>
  <c r="AE65" i="65"/>
  <c r="C58" i="65"/>
  <c r="AY72" i="65" s="1"/>
  <c r="AT65" i="65"/>
  <c r="C54" i="65"/>
  <c r="AY68" i="65" s="1"/>
  <c r="C53" i="65"/>
  <c r="U65" i="65"/>
  <c r="Z65" i="65"/>
  <c r="AJ65" i="65"/>
  <c r="P65" i="65"/>
  <c r="C56" i="65"/>
  <c r="AY70" i="65" s="1"/>
  <c r="AO65" i="65"/>
  <c r="Z66" i="65"/>
  <c r="AE71" i="65"/>
  <c r="AJ71" i="65"/>
  <c r="AT64" i="65"/>
  <c r="AJ64" i="65"/>
  <c r="U64" i="65"/>
  <c r="Z64" i="65"/>
  <c r="AO64" i="65"/>
  <c r="AE64" i="65"/>
  <c r="AJ67" i="65"/>
  <c r="AE67" i="65"/>
  <c r="Z67" i="65"/>
  <c r="Z72" i="65"/>
  <c r="P70" i="65"/>
  <c r="AT70" i="65"/>
  <c r="AO70" i="65"/>
  <c r="Z70" i="65"/>
  <c r="AJ70" i="65"/>
  <c r="AE70" i="65"/>
  <c r="U70" i="65"/>
  <c r="AT69" i="65"/>
  <c r="AE69" i="65"/>
  <c r="U69" i="65"/>
  <c r="AJ68" i="65"/>
  <c r="U68" i="65"/>
  <c r="K74" i="65"/>
  <c r="E74" i="65"/>
  <c r="E75" i="65" s="1"/>
  <c r="H70" i="65"/>
  <c r="I69" i="65"/>
  <c r="H66" i="65"/>
  <c r="I68" i="65"/>
  <c r="H73" i="65"/>
  <c r="H67" i="65"/>
  <c r="H72" i="65"/>
  <c r="I71" i="65"/>
  <c r="C74" i="65"/>
  <c r="F74" i="65"/>
  <c r="P73" i="65" l="1"/>
  <c r="AY73" i="65"/>
  <c r="P68" i="65"/>
  <c r="AO68" i="65"/>
  <c r="AO71" i="65"/>
  <c r="AT71" i="65"/>
  <c r="P66" i="65"/>
  <c r="AY66" i="65"/>
  <c r="Z68" i="65"/>
  <c r="AT68" i="65"/>
  <c r="P71" i="65"/>
  <c r="U66" i="65"/>
  <c r="P64" i="65"/>
  <c r="AY64" i="65"/>
  <c r="AE68" i="65"/>
  <c r="U71" i="65"/>
  <c r="Z71" i="65"/>
  <c r="AO66" i="65"/>
  <c r="AT67" i="65"/>
  <c r="AY67" i="65"/>
  <c r="AJ72" i="65"/>
  <c r="U67" i="65"/>
  <c r="U73" i="65"/>
  <c r="AE66" i="65"/>
  <c r="AE74" i="65" s="1"/>
  <c r="J72" i="65"/>
  <c r="J67" i="65"/>
  <c r="P67" i="65"/>
  <c r="AO67" i="65"/>
  <c r="J66" i="65"/>
  <c r="J70" i="65"/>
  <c r="J73" i="65"/>
  <c r="AT66" i="65"/>
  <c r="AT72" i="65"/>
  <c r="AJ66" i="65"/>
  <c r="AO73" i="65"/>
  <c r="C60" i="65"/>
  <c r="P69" i="65"/>
  <c r="P72" i="65"/>
  <c r="AE73" i="65"/>
  <c r="Z73" i="65"/>
  <c r="AJ69" i="65"/>
  <c r="BD74" i="65"/>
  <c r="P30" i="79" s="1"/>
  <c r="AT73" i="65"/>
  <c r="AT74" i="65" s="1"/>
  <c r="AO69" i="65"/>
  <c r="U72" i="65"/>
  <c r="AE72" i="65"/>
  <c r="BS74" i="65"/>
  <c r="S30" i="79" s="1"/>
  <c r="AO72" i="65"/>
  <c r="U74" i="65"/>
  <c r="AJ73" i="65"/>
  <c r="Z69" i="65"/>
  <c r="Z74" i="65" s="1"/>
  <c r="BN74" i="65"/>
  <c r="R30" i="79" s="1"/>
  <c r="I64" i="65"/>
  <c r="G74" i="65"/>
  <c r="M71" i="65"/>
  <c r="M69" i="65"/>
  <c r="M68" i="65"/>
  <c r="I70" i="65"/>
  <c r="H69" i="65"/>
  <c r="I73" i="65"/>
  <c r="I72" i="65"/>
  <c r="H65" i="65"/>
  <c r="I66" i="65"/>
  <c r="H71" i="65"/>
  <c r="H68" i="65"/>
  <c r="I67" i="65"/>
  <c r="I65" i="65"/>
  <c r="AJ74" i="65" l="1"/>
  <c r="AY74" i="65"/>
  <c r="AO74" i="65"/>
  <c r="J71" i="65"/>
  <c r="O71" i="65" s="1"/>
  <c r="J65" i="65"/>
  <c r="J69" i="65"/>
  <c r="J68" i="65"/>
  <c r="BI74" i="65"/>
  <c r="Q30" i="79" s="1"/>
  <c r="P74" i="65"/>
  <c r="M64" i="65"/>
  <c r="J64" i="65"/>
  <c r="H74" i="65"/>
  <c r="I74" i="65"/>
  <c r="O68" i="65"/>
  <c r="N68" i="65"/>
  <c r="O69" i="65"/>
  <c r="N69" i="65"/>
  <c r="N64" i="65"/>
  <c r="M72" i="65"/>
  <c r="M65" i="65"/>
  <c r="M73" i="65"/>
  <c r="M67" i="65"/>
  <c r="M70" i="65"/>
  <c r="M66" i="65"/>
  <c r="N71" i="65"/>
  <c r="C17" i="65" l="1"/>
  <c r="O67" i="65"/>
  <c r="O72" i="65"/>
  <c r="J74" i="65"/>
  <c r="O73" i="65"/>
  <c r="O66" i="65"/>
  <c r="O70" i="65"/>
  <c r="Q71" i="65"/>
  <c r="Q69" i="65"/>
  <c r="Q68" i="65"/>
  <c r="Q64" i="65"/>
  <c r="O64" i="65"/>
  <c r="L74" i="65"/>
  <c r="M74" i="65"/>
  <c r="N70" i="65"/>
  <c r="N65" i="65"/>
  <c r="N66" i="65"/>
  <c r="N73" i="65"/>
  <c r="O65" i="65"/>
  <c r="N72" i="65"/>
  <c r="N67" i="65"/>
  <c r="R69" i="65" l="1"/>
  <c r="R71" i="65"/>
  <c r="S64" i="65"/>
  <c r="R68" i="65"/>
  <c r="V64" i="65"/>
  <c r="Q73" i="65"/>
  <c r="Q72" i="65"/>
  <c r="S71" i="65"/>
  <c r="Q70" i="65"/>
  <c r="S69" i="65"/>
  <c r="S68" i="65"/>
  <c r="Q67" i="65"/>
  <c r="Q66" i="65"/>
  <c r="Q65" i="65"/>
  <c r="R64" i="65"/>
  <c r="O74" i="65"/>
  <c r="N74" i="65"/>
  <c r="R67" i="65" l="1"/>
  <c r="T68" i="65"/>
  <c r="R65" i="65"/>
  <c r="R73" i="65"/>
  <c r="R66" i="65"/>
  <c r="X64" i="65"/>
  <c r="AA64" i="65" s="1"/>
  <c r="T69" i="65"/>
  <c r="R70" i="65"/>
  <c r="T64" i="65"/>
  <c r="R72" i="65"/>
  <c r="T71" i="65"/>
  <c r="W64" i="65"/>
  <c r="V68" i="65"/>
  <c r="V69" i="65"/>
  <c r="V71" i="65"/>
  <c r="S73" i="65"/>
  <c r="S72" i="65"/>
  <c r="S70" i="65"/>
  <c r="S67" i="65"/>
  <c r="S66" i="65"/>
  <c r="Q74" i="65"/>
  <c r="S65" i="65"/>
  <c r="AC64" i="65" l="1"/>
  <c r="AF64" i="65" s="1"/>
  <c r="R74" i="65"/>
  <c r="AB64" i="65"/>
  <c r="T72" i="65"/>
  <c r="Y64" i="65"/>
  <c r="T65" i="65"/>
  <c r="W69" i="65"/>
  <c r="T73" i="65"/>
  <c r="W68" i="65"/>
  <c r="T70" i="65"/>
  <c r="T66" i="65"/>
  <c r="W71" i="65"/>
  <c r="T67" i="65"/>
  <c r="AD64" i="65"/>
  <c r="V66" i="65"/>
  <c r="V65" i="65"/>
  <c r="X71" i="65"/>
  <c r="AA71" i="65" s="1"/>
  <c r="V67" i="65"/>
  <c r="X69" i="65"/>
  <c r="AA69" i="65" s="1"/>
  <c r="V73" i="65"/>
  <c r="V70" i="65"/>
  <c r="V72" i="65"/>
  <c r="X68" i="65"/>
  <c r="AA68" i="65" s="1"/>
  <c r="S74" i="65"/>
  <c r="X65" i="65" l="1"/>
  <c r="AA65" i="65" s="1"/>
  <c r="Y69" i="65"/>
  <c r="W66" i="65"/>
  <c r="W72" i="65"/>
  <c r="AH64" i="65"/>
  <c r="Y71" i="65"/>
  <c r="W70" i="65"/>
  <c r="W67" i="65"/>
  <c r="W73" i="65"/>
  <c r="Y68" i="65"/>
  <c r="T74" i="65"/>
  <c r="AK64" i="65"/>
  <c r="AG64" i="65"/>
  <c r="X70" i="65"/>
  <c r="AA70" i="65" s="1"/>
  <c r="AC65" i="65"/>
  <c r="AF65" i="65" s="1"/>
  <c r="AB65" i="65"/>
  <c r="AC71" i="65"/>
  <c r="AF71" i="65" s="1"/>
  <c r="AB71" i="65"/>
  <c r="AC68" i="65"/>
  <c r="AB68" i="65"/>
  <c r="AC69" i="65"/>
  <c r="AF69" i="65" s="1"/>
  <c r="AB69" i="65"/>
  <c r="X73" i="65"/>
  <c r="AA73" i="65" s="1"/>
  <c r="X72" i="65"/>
  <c r="AA72" i="65" s="1"/>
  <c r="X67" i="65"/>
  <c r="AA67" i="65" s="1"/>
  <c r="X66" i="65"/>
  <c r="W65" i="65"/>
  <c r="V74" i="65"/>
  <c r="Y70" i="65" l="1"/>
  <c r="AB70" i="65"/>
  <c r="Y66" i="65"/>
  <c r="Y72" i="65"/>
  <c r="AD68" i="65"/>
  <c r="AD69" i="65"/>
  <c r="Y73" i="65"/>
  <c r="Y67" i="65"/>
  <c r="AD71" i="65"/>
  <c r="AL64" i="65"/>
  <c r="AM64" i="65"/>
  <c r="AP64" i="65" s="1"/>
  <c r="AF68" i="65"/>
  <c r="AC70" i="65"/>
  <c r="AI64" i="65"/>
  <c r="AH71" i="65"/>
  <c r="AK71" i="65" s="1"/>
  <c r="AG71" i="65"/>
  <c r="AH69" i="65"/>
  <c r="AK69" i="65" s="1"/>
  <c r="AG69" i="65"/>
  <c r="AH65" i="65"/>
  <c r="AK65" i="65" s="1"/>
  <c r="AG65" i="65"/>
  <c r="X74" i="65"/>
  <c r="AA66" i="65"/>
  <c r="AC67" i="65"/>
  <c r="AF67" i="65" s="1"/>
  <c r="AB67" i="65"/>
  <c r="AC72" i="65"/>
  <c r="AB72" i="65"/>
  <c r="AC73" i="65"/>
  <c r="AF73" i="65" s="1"/>
  <c r="AB73" i="65"/>
  <c r="Y65" i="65"/>
  <c r="W74" i="65"/>
  <c r="Y74" i="65" l="1"/>
  <c r="AD72" i="65"/>
  <c r="AI69" i="65"/>
  <c r="AD67" i="65"/>
  <c r="AI71" i="65"/>
  <c r="AG68" i="65"/>
  <c r="AD73" i="65"/>
  <c r="AD70" i="65"/>
  <c r="AR64" i="65"/>
  <c r="AQ64" i="65"/>
  <c r="AM71" i="65"/>
  <c r="AP71" i="65" s="1"/>
  <c r="AL71" i="65"/>
  <c r="AH68" i="65"/>
  <c r="AM65" i="65"/>
  <c r="AP65" i="65" s="1"/>
  <c r="AL65" i="65"/>
  <c r="AM69" i="65"/>
  <c r="AP69" i="65" s="1"/>
  <c r="AL69" i="65"/>
  <c r="AN64" i="65"/>
  <c r="AF70" i="65"/>
  <c r="AH73" i="65"/>
  <c r="AK73" i="65" s="1"/>
  <c r="AG73" i="65"/>
  <c r="AF72" i="65"/>
  <c r="AH67" i="65"/>
  <c r="AK67" i="65" s="1"/>
  <c r="AG67" i="65"/>
  <c r="AC66" i="65"/>
  <c r="AB66" i="65"/>
  <c r="AA74" i="65"/>
  <c r="AD65" i="65"/>
  <c r="AI65" i="65" s="1"/>
  <c r="AN69" i="65" l="1"/>
  <c r="AI67" i="65"/>
  <c r="AG72" i="65"/>
  <c r="AI73" i="65"/>
  <c r="AI68" i="65"/>
  <c r="AN71" i="65"/>
  <c r="AG70" i="65"/>
  <c r="AS64" i="65"/>
  <c r="AU64" i="65"/>
  <c r="AN65" i="65"/>
  <c r="AR69" i="65"/>
  <c r="AQ69" i="65"/>
  <c r="AR65" i="65"/>
  <c r="AQ65" i="65"/>
  <c r="AR71" i="65"/>
  <c r="AQ71" i="65"/>
  <c r="AM67" i="65"/>
  <c r="AP67" i="65" s="1"/>
  <c r="AL67" i="65"/>
  <c r="AH72" i="65"/>
  <c r="AK68" i="65"/>
  <c r="AM73" i="65"/>
  <c r="AP73" i="65" s="1"/>
  <c r="AL73" i="65"/>
  <c r="AC74" i="65"/>
  <c r="AF66" i="65"/>
  <c r="AH70" i="65"/>
  <c r="AD66" i="65"/>
  <c r="AD74" i="65" s="1"/>
  <c r="AB74" i="65"/>
  <c r="AL68" i="65" l="1"/>
  <c r="AS69" i="65"/>
  <c r="AI70" i="65"/>
  <c r="AN73" i="65"/>
  <c r="AN67" i="65"/>
  <c r="AI72" i="65"/>
  <c r="AW64" i="65"/>
  <c r="AZ64" i="65" s="1"/>
  <c r="AH66" i="65"/>
  <c r="AS71" i="65"/>
  <c r="AU65" i="65"/>
  <c r="AU69" i="65"/>
  <c r="AV64" i="65"/>
  <c r="AU71" i="65"/>
  <c r="AS65" i="65"/>
  <c r="AR73" i="65"/>
  <c r="AQ73" i="65"/>
  <c r="AR67" i="65"/>
  <c r="AQ67" i="65"/>
  <c r="AK72" i="65"/>
  <c r="AM68" i="65"/>
  <c r="AP68" i="65" s="1"/>
  <c r="AK70" i="65"/>
  <c r="AH74" i="65"/>
  <c r="AK66" i="65"/>
  <c r="AG66" i="65"/>
  <c r="AF74" i="65"/>
  <c r="BB64" i="65" l="1"/>
  <c r="BA64" i="65"/>
  <c r="AS67" i="65"/>
  <c r="AV65" i="65"/>
  <c r="AL72" i="65"/>
  <c r="AS73" i="65"/>
  <c r="AN68" i="65"/>
  <c r="AV69" i="65"/>
  <c r="AM66" i="65"/>
  <c r="AP66" i="65" s="1"/>
  <c r="AL70" i="65"/>
  <c r="AV71" i="65"/>
  <c r="AX65" i="65"/>
  <c r="AM70" i="65"/>
  <c r="AP70" i="65" s="1"/>
  <c r="AW71" i="65"/>
  <c r="AX64" i="65"/>
  <c r="AU67" i="65"/>
  <c r="AW69" i="65"/>
  <c r="AU73" i="65"/>
  <c r="AW65" i="65"/>
  <c r="AR66" i="65"/>
  <c r="AQ66" i="65"/>
  <c r="AR68" i="65"/>
  <c r="AQ68" i="65"/>
  <c r="AL66" i="65"/>
  <c r="AK74" i="65"/>
  <c r="AM72" i="65"/>
  <c r="AP72" i="65" s="1"/>
  <c r="AI66" i="65"/>
  <c r="AI74" i="65" s="1"/>
  <c r="AG74" i="65"/>
  <c r="AZ65" i="65" l="1"/>
  <c r="BA65" i="65" s="1"/>
  <c r="BC65" i="65" s="1"/>
  <c r="BB65" i="65"/>
  <c r="BE65" i="65" s="1"/>
  <c r="BB71" i="65"/>
  <c r="BE71" i="65" s="1"/>
  <c r="AZ71" i="65"/>
  <c r="BA71" i="65" s="1"/>
  <c r="BC64" i="65"/>
  <c r="BB69" i="65"/>
  <c r="BE69" i="65" s="1"/>
  <c r="AZ69" i="65"/>
  <c r="BA69" i="65" s="1"/>
  <c r="BE64" i="65"/>
  <c r="BF64" i="65" s="1"/>
  <c r="AV73" i="65"/>
  <c r="AX69" i="65"/>
  <c r="AN72" i="65"/>
  <c r="AS68" i="65"/>
  <c r="AN70" i="65"/>
  <c r="AQ70" i="65"/>
  <c r="AV67" i="65"/>
  <c r="AX71" i="65"/>
  <c r="AM74" i="65"/>
  <c r="AW73" i="65"/>
  <c r="AU66" i="65"/>
  <c r="AU68" i="65"/>
  <c r="AW67" i="65"/>
  <c r="AR70" i="65"/>
  <c r="AR72" i="65"/>
  <c r="AQ72" i="65"/>
  <c r="AP74" i="65"/>
  <c r="AN66" i="65"/>
  <c r="AL74" i="65"/>
  <c r="BG64" i="65" l="1"/>
  <c r="BJ64" i="65" s="1"/>
  <c r="BK64" i="65" s="1"/>
  <c r="AZ73" i="65"/>
  <c r="AZ67" i="65"/>
  <c r="BA67" i="65" s="1"/>
  <c r="BB67" i="65"/>
  <c r="BE67" i="65" s="1"/>
  <c r="BH64" i="65"/>
  <c r="BG65" i="65"/>
  <c r="BF65" i="65"/>
  <c r="BH65" i="65" s="1"/>
  <c r="BC69" i="65"/>
  <c r="BC71" i="65"/>
  <c r="BH71" i="65" s="1"/>
  <c r="BG69" i="65"/>
  <c r="BF69" i="65"/>
  <c r="BG71" i="65"/>
  <c r="BF71" i="65"/>
  <c r="AX73" i="65"/>
  <c r="AX67" i="65"/>
  <c r="AN74" i="65"/>
  <c r="AS70" i="65"/>
  <c r="AV68" i="65"/>
  <c r="AS72" i="65"/>
  <c r="AW68" i="65"/>
  <c r="AV66" i="65"/>
  <c r="AW66" i="65"/>
  <c r="AU72" i="65"/>
  <c r="AS66" i="65"/>
  <c r="AR74" i="65"/>
  <c r="AU70" i="65"/>
  <c r="AQ74" i="65"/>
  <c r="BM64" i="65" l="1"/>
  <c r="AZ68" i="65"/>
  <c r="BA68" i="65" s="1"/>
  <c r="BB68" i="65"/>
  <c r="BJ69" i="65"/>
  <c r="BK69" i="65" s="1"/>
  <c r="BM69" i="65" s="1"/>
  <c r="BH69" i="65"/>
  <c r="BG67" i="65"/>
  <c r="BF67" i="65"/>
  <c r="BL64" i="65"/>
  <c r="BO64" i="65" s="1"/>
  <c r="BC67" i="65"/>
  <c r="BB73" i="65"/>
  <c r="BE73" i="65" s="1"/>
  <c r="BA73" i="65"/>
  <c r="BC73" i="65" s="1"/>
  <c r="BB66" i="65"/>
  <c r="AZ66" i="65"/>
  <c r="BJ71" i="65"/>
  <c r="BK71" i="65" s="1"/>
  <c r="BM71" i="65" s="1"/>
  <c r="BJ65" i="65"/>
  <c r="BK65" i="65" s="1"/>
  <c r="BM65" i="65" s="1"/>
  <c r="AV72" i="65"/>
  <c r="AV70" i="65"/>
  <c r="AX68" i="65"/>
  <c r="AS74" i="65"/>
  <c r="AU74" i="65"/>
  <c r="AX66" i="65"/>
  <c r="AW70" i="65"/>
  <c r="AW72" i="65"/>
  <c r="BL65" i="65" l="1"/>
  <c r="BL71" i="65"/>
  <c r="BO71" i="65"/>
  <c r="BP71" i="65" s="1"/>
  <c r="BR71" i="65" s="1"/>
  <c r="BG73" i="65"/>
  <c r="BF73" i="65"/>
  <c r="BH73" i="65" s="1"/>
  <c r="BJ67" i="65"/>
  <c r="BK67" i="65" s="1"/>
  <c r="BE68" i="65"/>
  <c r="BF68" i="65" s="1"/>
  <c r="AZ70" i="65"/>
  <c r="BA70" i="65" s="1"/>
  <c r="BA66" i="65"/>
  <c r="BH67" i="65"/>
  <c r="BC68" i="65"/>
  <c r="BH68" i="65" s="1"/>
  <c r="AZ72" i="65"/>
  <c r="BA72" i="65" s="1"/>
  <c r="AV74" i="65"/>
  <c r="BO65" i="65"/>
  <c r="BP65" i="65" s="1"/>
  <c r="BR65" i="65" s="1"/>
  <c r="BE66" i="65"/>
  <c r="BF66" i="65" s="1"/>
  <c r="BQ64" i="65"/>
  <c r="BT64" i="65" s="1"/>
  <c r="BP64" i="65"/>
  <c r="BR64" i="65" s="1"/>
  <c r="BL69" i="65"/>
  <c r="AX72" i="65"/>
  <c r="AX70" i="65"/>
  <c r="AW74" i="65"/>
  <c r="BL67" i="65" l="1"/>
  <c r="BG66" i="65"/>
  <c r="BQ65" i="65"/>
  <c r="BG68" i="65"/>
  <c r="BV64" i="65"/>
  <c r="BU64" i="65"/>
  <c r="BW64" i="65" s="1"/>
  <c r="BT65" i="65"/>
  <c r="BU65" i="65" s="1"/>
  <c r="BW65" i="65" s="1"/>
  <c r="BJ68" i="65"/>
  <c r="BK68" i="65" s="1"/>
  <c r="BM68" i="65" s="1"/>
  <c r="BJ73" i="65"/>
  <c r="BK73" i="65" s="1"/>
  <c r="BB70" i="65"/>
  <c r="BM67" i="65"/>
  <c r="BO69" i="65"/>
  <c r="BP69" i="65" s="1"/>
  <c r="BR69" i="65" s="1"/>
  <c r="BJ66" i="65"/>
  <c r="BK66" i="65" s="1"/>
  <c r="BL66" i="65"/>
  <c r="BO66" i="65" s="1"/>
  <c r="BB72" i="65"/>
  <c r="AZ74" i="65"/>
  <c r="BC70" i="65"/>
  <c r="BO67" i="65"/>
  <c r="BP67" i="65" s="1"/>
  <c r="BR67" i="65" s="1"/>
  <c r="BC72" i="65"/>
  <c r="BC66" i="65"/>
  <c r="BA74" i="65"/>
  <c r="BQ71" i="65"/>
  <c r="AX74" i="65"/>
  <c r="BM73" i="65" l="1"/>
  <c r="BT71" i="65"/>
  <c r="BU71" i="65" s="1"/>
  <c r="BW71" i="65" s="1"/>
  <c r="BE72" i="65"/>
  <c r="BF72" i="65" s="1"/>
  <c r="BQ69" i="65"/>
  <c r="BL73" i="65"/>
  <c r="BV65" i="65"/>
  <c r="BQ67" i="65"/>
  <c r="BQ66" i="65"/>
  <c r="BT66" i="65" s="1"/>
  <c r="BP66" i="65"/>
  <c r="BH66" i="65"/>
  <c r="BM66" i="65" s="1"/>
  <c r="BC74" i="65"/>
  <c r="BE70" i="65"/>
  <c r="BB74" i="65"/>
  <c r="BL68" i="65"/>
  <c r="BO68" i="65" s="1"/>
  <c r="BG72" i="65" l="1"/>
  <c r="BV71" i="65"/>
  <c r="BV66" i="65"/>
  <c r="BU66" i="65"/>
  <c r="BT69" i="65"/>
  <c r="BU69" i="65" s="1"/>
  <c r="BF70" i="65"/>
  <c r="BE74" i="65"/>
  <c r="BT67" i="65"/>
  <c r="BU67" i="65" s="1"/>
  <c r="BW67" i="65" s="1"/>
  <c r="BJ72" i="65"/>
  <c r="BK72" i="65" s="1"/>
  <c r="BG70" i="65"/>
  <c r="BQ68" i="65"/>
  <c r="BT68" i="65" s="1"/>
  <c r="BP68" i="65"/>
  <c r="BR68" i="65" s="1"/>
  <c r="BR66" i="65"/>
  <c r="BO73" i="65"/>
  <c r="BH72" i="65"/>
  <c r="BM72" i="65" l="1"/>
  <c r="BP73" i="65"/>
  <c r="BV68" i="65"/>
  <c r="BU68" i="65"/>
  <c r="BW68" i="65" s="1"/>
  <c r="BW69" i="65"/>
  <c r="BQ73" i="65"/>
  <c r="BJ70" i="65"/>
  <c r="BL70" i="65" s="1"/>
  <c r="BG74" i="65"/>
  <c r="BV67" i="65"/>
  <c r="BV69" i="65"/>
  <c r="BW66" i="65"/>
  <c r="BL72" i="65"/>
  <c r="BO72" i="65" s="1"/>
  <c r="BF74" i="65"/>
  <c r="BH70" i="65"/>
  <c r="BH74" i="65" s="1"/>
  <c r="BO70" i="65" l="1"/>
  <c r="BL74" i="65"/>
  <c r="BT73" i="65"/>
  <c r="BU73" i="65" s="1"/>
  <c r="BQ72" i="65"/>
  <c r="BT72" i="65" s="1"/>
  <c r="BP72" i="65"/>
  <c r="BR72" i="65" s="1"/>
  <c r="BK70" i="65"/>
  <c r="BJ74" i="65"/>
  <c r="BR73" i="65"/>
  <c r="BO74" i="65"/>
  <c r="BV72" i="65" l="1"/>
  <c r="BU72" i="65"/>
  <c r="BW72" i="65" s="1"/>
  <c r="BW73" i="65"/>
  <c r="BM70" i="65"/>
  <c r="BM74" i="65" s="1"/>
  <c r="BK74" i="65"/>
  <c r="BV73" i="65"/>
  <c r="BQ70" i="65"/>
  <c r="BT70" i="65" s="1"/>
  <c r="BP70" i="65"/>
  <c r="BR70" i="65" s="1"/>
  <c r="BQ74" i="65" l="1"/>
  <c r="BP74" i="65"/>
  <c r="BV70" i="65"/>
  <c r="BV74" i="65" s="1"/>
  <c r="BU70" i="65"/>
  <c r="BW70" i="65" s="1"/>
  <c r="BR74" i="65"/>
  <c r="BT74" i="65"/>
  <c r="BU74" i="65" l="1"/>
  <c r="BW74" i="65"/>
</calcChain>
</file>

<file path=xl/sharedStrings.xml><?xml version="1.0" encoding="utf-8"?>
<sst xmlns="http://schemas.openxmlformats.org/spreadsheetml/2006/main" count="523" uniqueCount="143">
  <si>
    <t xml:space="preserve"> Nombre o Razón Social</t>
  </si>
  <si>
    <t>BANCO COLPATRIA</t>
  </si>
  <si>
    <t>BANCO DE BOGOTA SA</t>
  </si>
  <si>
    <t>BANCO DE OCCIDENTE SA</t>
  </si>
  <si>
    <t>BANCO CAJA SOCIAL BCSC</t>
  </si>
  <si>
    <t>BANCO DAVIVIENDA SA</t>
  </si>
  <si>
    <t>BANCO CORPBANCA COLOMBIA S A</t>
  </si>
  <si>
    <t>BANCO POPULAR SA</t>
  </si>
  <si>
    <t>BANCO AV VILLAS</t>
  </si>
  <si>
    <t>BANCO GNB SUDAMERIS SA</t>
  </si>
  <si>
    <t>BANCOLOMBIA SA</t>
  </si>
  <si>
    <t>890903938</t>
  </si>
  <si>
    <t>860002964</t>
  </si>
  <si>
    <t>860007335</t>
  </si>
  <si>
    <t>860034313</t>
  </si>
  <si>
    <t>860034594</t>
  </si>
  <si>
    <t>860035827</t>
  </si>
  <si>
    <t>860050750</t>
  </si>
  <si>
    <t>890300279</t>
  </si>
  <si>
    <t>890903937</t>
  </si>
  <si>
    <t>860007738</t>
  </si>
  <si>
    <t>OBLIGACIONES FINANCIERAS</t>
  </si>
  <si>
    <t>TARJETA DE CREDITO</t>
  </si>
  <si>
    <t>ARRENDAMIENTOS FINANCIEROS</t>
  </si>
  <si>
    <t>Concepto de la Acreencia</t>
  </si>
  <si>
    <t>BANCO</t>
  </si>
  <si>
    <t>Banco Colpatria</t>
  </si>
  <si>
    <t>Banco de Bogotá</t>
  </si>
  <si>
    <t>Banco Davivienda</t>
  </si>
  <si>
    <t>Banco Caja Social</t>
  </si>
  <si>
    <t>Banco Itaú</t>
  </si>
  <si>
    <t>Banco Popular</t>
  </si>
  <si>
    <t>Banco de Occidente</t>
  </si>
  <si>
    <t>Banco AV Villas</t>
  </si>
  <si>
    <t>Banco GNB Sudameris</t>
  </si>
  <si>
    <t>Bancolombia</t>
  </si>
  <si>
    <t>NIT</t>
  </si>
  <si>
    <t>2DA CLASE</t>
  </si>
  <si>
    <t>5TA CLASE</t>
  </si>
  <si>
    <t>APLICADO 2DA CLASE</t>
  </si>
  <si>
    <t>APLICADO 5TA CLASE</t>
  </si>
  <si>
    <t>SALDO 5TA CLASE</t>
  </si>
  <si>
    <t>TOTAL REORGANIZADO</t>
  </si>
  <si>
    <t>PRUEBA</t>
  </si>
  <si>
    <t>TOTAL</t>
  </si>
  <si>
    <t>TAO</t>
  </si>
  <si>
    <t>% Participación</t>
  </si>
  <si>
    <t>Cabañitas</t>
  </si>
  <si>
    <t>Bucaros</t>
  </si>
  <si>
    <t>Futuras Amp</t>
  </si>
  <si>
    <t>Total</t>
  </si>
  <si>
    <t>RESUMEN PAGOS SECTOR FRO</t>
  </si>
  <si>
    <t>2DA CLASE RECONOCIDA POR SUPERSOCIEDADES</t>
  </si>
  <si>
    <t>2DA DESPUES DEL PAGO DEL TUNEL</t>
  </si>
  <si>
    <t>PAGO ODINSA</t>
  </si>
  <si>
    <t>9 PAGO 30/06/2026</t>
  </si>
  <si>
    <t>10 PAGO 30/12/2026</t>
  </si>
  <si>
    <t>8 PAGO 30/12/2025</t>
  </si>
  <si>
    <t>1 PAGO</t>
  </si>
  <si>
    <t>2 PAGO</t>
  </si>
  <si>
    <t>3 PAGO 30/06/2023</t>
  </si>
  <si>
    <t>4 PAGO 30/12/2023</t>
  </si>
  <si>
    <t>5 PAGO 30/06/2024</t>
  </si>
  <si>
    <t>6 PAGO 30/12/2024</t>
  </si>
  <si>
    <t>7 PAGO 30/06/2025</t>
  </si>
  <si>
    <t>Con este termino de pagar primera</t>
  </si>
  <si>
    <t>DISTRIBUCION PAGOS CON VENTA TUNEL</t>
  </si>
  <si>
    <t>SALDO SEGUNDA CLASE</t>
  </si>
  <si>
    <t>11 PAGO 30/12/2026</t>
  </si>
  <si>
    <t>12 PAGO 30/06/2027</t>
  </si>
  <si>
    <t>13 PAGO 30/12/2027</t>
  </si>
  <si>
    <t>14 PAGO 30/06/2028</t>
  </si>
  <si>
    <t>Aplica % Venta Tunel</t>
  </si>
  <si>
    <t>Aplica % despues venta Tunel</t>
  </si>
  <si>
    <t>Nit</t>
  </si>
  <si>
    <t>Capital por pagar</t>
  </si>
  <si>
    <t>1 PAGO Venta Tunel</t>
  </si>
  <si>
    <t>2 PAGO Venta Tunel</t>
  </si>
  <si>
    <t>BANCOS</t>
  </si>
  <si>
    <t>SUBTOTAL SEGUNDA CLASE</t>
  </si>
  <si>
    <t>SUBTOTAL QUINTA CLASE</t>
  </si>
  <si>
    <t>TOTAL BANCOS</t>
  </si>
  <si>
    <t># OBLIGACION Y/O PAGARE</t>
  </si>
  <si>
    <t>TIPO</t>
  </si>
  <si>
    <t>SEGUNDA</t>
  </si>
  <si>
    <t>QUINTA</t>
  </si>
  <si>
    <t>TRAMO A</t>
  </si>
  <si>
    <t>7347945</t>
  </si>
  <si>
    <t>TRAMO B</t>
  </si>
  <si>
    <t>7210001643</t>
  </si>
  <si>
    <t>1572100000</t>
  </si>
  <si>
    <t>6700105590</t>
  </si>
  <si>
    <t>6700105610</t>
  </si>
  <si>
    <t>11060778</t>
  </si>
  <si>
    <t>11060779</t>
  </si>
  <si>
    <t>1811303897</t>
  </si>
  <si>
    <t>8113038981</t>
  </si>
  <si>
    <t>5980057159</t>
  </si>
  <si>
    <t>5980057940</t>
  </si>
  <si>
    <t>0000186366 y 101781960</t>
  </si>
  <si>
    <t>1181000000 y 101781950</t>
  </si>
  <si>
    <t>LEASING</t>
  </si>
  <si>
    <t>159272489 - 253363569 - 158757671 - 157714256 - 255139291 - 257052290 - 159542704 - 253788842 - 254542026</t>
  </si>
  <si>
    <t xml:space="preserve">BANCO DE OCCIDENTE </t>
  </si>
  <si>
    <t>4080024975</t>
  </si>
  <si>
    <t>4050024399</t>
  </si>
  <si>
    <t>TARJETAS CREDITO</t>
  </si>
  <si>
    <t>TRAMO</t>
  </si>
  <si>
    <t>A</t>
  </si>
  <si>
    <t>N/A</t>
  </si>
  <si>
    <t>A+B</t>
  </si>
  <si>
    <t>% APLICAR A LA QUINTA</t>
  </si>
  <si>
    <t>ciro</t>
  </si>
  <si>
    <t>Judith</t>
  </si>
  <si>
    <t>Giovany Pelayo</t>
  </si>
  <si>
    <t>Angela Rodriguez</t>
  </si>
  <si>
    <t>Jaime Rodriguez</t>
  </si>
  <si>
    <t>BANCO CORPBANCA COLOMBIA S A / ITAU</t>
  </si>
  <si>
    <t>Nick Orozco</t>
  </si>
  <si>
    <t>Claudia Miguez</t>
  </si>
  <si>
    <t>Luisa Fernando Castaño</t>
  </si>
  <si>
    <t>Ximena Garzon</t>
  </si>
  <si>
    <t>Gloria Dexi Cortes/Marlon Quintero</t>
  </si>
  <si>
    <t>SUBTOTAL BANCO CAJA SOCIAL</t>
  </si>
  <si>
    <t>SUBTOTAL BANCO COLPATRIA</t>
  </si>
  <si>
    <t>SUBTOTAL BANCO DAVIVIENDA</t>
  </si>
  <si>
    <t>SUBTOTAL BANCO POPULAR</t>
  </si>
  <si>
    <t>SUBTOTAL BANCOLOMBIA</t>
  </si>
  <si>
    <t>SUBTOTAL BANCO AV VILLAS</t>
  </si>
  <si>
    <t>SUBTOTAL BANCO GNB SUDAMERIS</t>
  </si>
  <si>
    <t>SUBTOTAL BANCO CORPBANCA/ITAU</t>
  </si>
  <si>
    <t>SUBTOTAL BANCO DE BOGOTA</t>
  </si>
  <si>
    <t>SUBTOTAL BANCO DE OCCIDENTE</t>
  </si>
  <si>
    <t>PLAN DE PAGOS RESUMIDO</t>
  </si>
  <si>
    <t>PLAN DE PAGOS DETALLADO</t>
  </si>
  <si>
    <t>PAGO</t>
  </si>
  <si>
    <t>TOTAL PAGOS K SEGUNDA</t>
  </si>
  <si>
    <t>PAGOS SEGUNDA</t>
  </si>
  <si>
    <t>PAGOS QUINTA</t>
  </si>
  <si>
    <t>TOTAL PAGOS QUINTA</t>
  </si>
  <si>
    <t>$AN$6</t>
  </si>
  <si>
    <t>$AN$7</t>
  </si>
  <si>
    <t>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</si>
</sst>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0000000000000%"/>
    <numFmt numFmtId="167" formatCode="0.0%"/>
    <numFmt numFmtId="168" formatCode="_-* #,##0.000000000_-;\-* #,##0.000000000_-;_-* &quot;-&quot;??_-;_-@_-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entury Gothic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2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1"/>
    <xf numFmtId="0" fontId="3" fillId="0" borderId="1"/>
    <xf numFmtId="0" fontId="2" fillId="0" borderId="1"/>
    <xf numFmtId="164" fontId="2" fillId="0" borderId="1" applyFont="0" applyFill="0" applyBorder="0" applyAlignment="0" applyProtection="0"/>
  </cellStyleXfs>
  <cellXfs count="128">
    <xf numFmtId="0" fontId="0" fillId="0" borderId="0" xfId="0" applyFont="1" applyAlignment="1"/>
    <xf numFmtId="49" fontId="4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165" fontId="0" fillId="0" borderId="0" xfId="1" applyNumberFormat="1" applyFont="1" applyAlignment="1"/>
    <xf numFmtId="165" fontId="5" fillId="0" borderId="0" xfId="1" applyNumberFormat="1" applyFont="1" applyAlignment="1"/>
    <xf numFmtId="0" fontId="2" fillId="0" borderId="0" xfId="0" applyFont="1" applyAlignment="1"/>
    <xf numFmtId="165" fontId="0" fillId="0" borderId="0" xfId="0" applyNumberFormat="1" applyFont="1" applyAlignment="1"/>
    <xf numFmtId="0" fontId="5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6" fontId="6" fillId="0" borderId="2" xfId="2" applyNumberFormat="1" applyFont="1" applyBorder="1" applyAlignment="1">
      <alignment horizontal="right" vertical="center"/>
    </xf>
    <xf numFmtId="165" fontId="6" fillId="0" borderId="2" xfId="1" applyNumberFormat="1" applyFont="1" applyBorder="1" applyAlignment="1">
      <alignment horizontal="right" vertical="center"/>
    </xf>
    <xf numFmtId="165" fontId="0" fillId="0" borderId="2" xfId="1" applyNumberFormat="1" applyFont="1" applyBorder="1" applyAlignment="1"/>
    <xf numFmtId="0" fontId="0" fillId="0" borderId="2" xfId="0" applyFont="1" applyBorder="1" applyAlignment="1"/>
    <xf numFmtId="0" fontId="7" fillId="0" borderId="2" xfId="0" applyFont="1" applyBorder="1" applyAlignment="1">
      <alignment vertical="center"/>
    </xf>
    <xf numFmtId="166" fontId="7" fillId="0" borderId="2" xfId="2" applyNumberFormat="1" applyFont="1" applyBorder="1" applyAlignment="1">
      <alignment horizontal="right" vertical="center"/>
    </xf>
    <xf numFmtId="165" fontId="7" fillId="0" borderId="2" xfId="1" applyNumberFormat="1" applyFont="1" applyBorder="1" applyAlignment="1">
      <alignment horizontal="right" vertical="center"/>
    </xf>
    <xf numFmtId="165" fontId="0" fillId="2" borderId="2" xfId="1" applyNumberFormat="1" applyFont="1" applyFill="1" applyBorder="1" applyAlignment="1"/>
    <xf numFmtId="165" fontId="7" fillId="2" borderId="2" xfId="1" applyNumberFormat="1" applyFont="1" applyFill="1" applyBorder="1" applyAlignment="1">
      <alignment horizontal="right" vertical="center"/>
    </xf>
    <xf numFmtId="165" fontId="0" fillId="0" borderId="2" xfId="0" applyNumberFormat="1" applyFont="1" applyBorder="1" applyAlignment="1"/>
    <xf numFmtId="0" fontId="0" fillId="0" borderId="1" xfId="0" applyFont="1" applyFill="1" applyBorder="1" applyAlignment="1"/>
    <xf numFmtId="3" fontId="8" fillId="0" borderId="1" xfId="0" applyNumberFormat="1" applyFont="1" applyFill="1" applyBorder="1" applyAlignment="1">
      <alignment horizontal="justify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165" fontId="6" fillId="0" borderId="2" xfId="1" applyNumberFormat="1" applyFont="1" applyFill="1" applyBorder="1" applyAlignment="1">
      <alignment horizontal="right" vertical="center"/>
    </xf>
    <xf numFmtId="165" fontId="9" fillId="0" borderId="0" xfId="1" applyNumberFormat="1" applyFont="1" applyAlignment="1"/>
    <xf numFmtId="0" fontId="2" fillId="0" borderId="2" xfId="0" applyFont="1" applyBorder="1" applyAlignment="1"/>
    <xf numFmtId="167" fontId="0" fillId="0" borderId="2" xfId="0" applyNumberFormat="1" applyFont="1" applyBorder="1" applyAlignment="1"/>
    <xf numFmtId="165" fontId="4" fillId="0" borderId="2" xfId="1" applyNumberFormat="1" applyFont="1" applyBorder="1" applyAlignment="1"/>
    <xf numFmtId="9" fontId="5" fillId="0" borderId="2" xfId="2" applyFont="1" applyBorder="1" applyAlignment="1"/>
    <xf numFmtId="165" fontId="5" fillId="0" borderId="2" xfId="1" applyNumberFormat="1" applyFont="1" applyBorder="1" applyAlignment="1"/>
    <xf numFmtId="14" fontId="0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68" fontId="0" fillId="0" borderId="0" xfId="1" applyNumberFormat="1" applyFont="1" applyAlignment="1"/>
    <xf numFmtId="14" fontId="5" fillId="4" borderId="2" xfId="0" applyNumberFormat="1" applyFont="1" applyFill="1" applyBorder="1" applyAlignment="1">
      <alignment horizontal="center" vertical="center" wrapText="1"/>
    </xf>
    <xf numFmtId="165" fontId="5" fillId="4" borderId="2" xfId="1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6" borderId="2" xfId="0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2" xfId="1" applyNumberFormat="1" applyFont="1" applyFill="1" applyBorder="1" applyAlignment="1">
      <alignment horizontal="center" vertical="center" wrapText="1"/>
    </xf>
    <xf numFmtId="14" fontId="11" fillId="6" borderId="2" xfId="1" applyNumberFormat="1" applyFont="1" applyFill="1" applyBorder="1" applyAlignment="1">
      <alignment horizontal="center" vertical="center"/>
    </xf>
    <xf numFmtId="14" fontId="14" fillId="6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165" fontId="11" fillId="0" borderId="2" xfId="0" applyNumberFormat="1" applyFont="1" applyBorder="1" applyAlignment="1"/>
    <xf numFmtId="165" fontId="2" fillId="0" borderId="2" xfId="1" applyNumberFormat="1" applyFont="1" applyBorder="1" applyAlignment="1"/>
    <xf numFmtId="165" fontId="12" fillId="7" borderId="2" xfId="1" applyNumberFormat="1" applyFont="1" applyFill="1" applyBorder="1" applyAlignment="1">
      <alignment horizontal="left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165" fontId="11" fillId="0" borderId="2" xfId="1" applyNumberFormat="1" applyFont="1" applyBorder="1" applyAlignment="1"/>
    <xf numFmtId="0" fontId="13" fillId="0" borderId="0" xfId="0" applyFont="1" applyAlignment="1">
      <alignment horizontal="center"/>
    </xf>
    <xf numFmtId="0" fontId="12" fillId="7" borderId="2" xfId="0" applyFont="1" applyFill="1" applyBorder="1" applyAlignment="1">
      <alignment horizontal="left"/>
    </xf>
    <xf numFmtId="49" fontId="5" fillId="8" borderId="4" xfId="5" applyNumberFormat="1" applyFont="1" applyFill="1" applyBorder="1" applyAlignment="1">
      <alignment horizontal="center" vertical="center"/>
    </xf>
    <xf numFmtId="0" fontId="5" fillId="8" borderId="2" xfId="5" applyFont="1" applyFill="1" applyBorder="1" applyAlignment="1">
      <alignment horizontal="center" vertical="center"/>
    </xf>
    <xf numFmtId="0" fontId="5" fillId="8" borderId="2" xfId="5" applyFont="1" applyFill="1" applyBorder="1" applyAlignment="1">
      <alignment horizontal="center" vertical="center" wrapText="1"/>
    </xf>
    <xf numFmtId="165" fontId="5" fillId="8" borderId="2" xfId="6" applyNumberFormat="1" applyFont="1" applyFill="1" applyBorder="1" applyAlignment="1">
      <alignment horizontal="center" vertical="center" wrapText="1"/>
    </xf>
    <xf numFmtId="0" fontId="2" fillId="0" borderId="1" xfId="5" applyFont="1" applyAlignment="1">
      <alignment vertical="center"/>
    </xf>
    <xf numFmtId="165" fontId="0" fillId="0" borderId="2" xfId="6" applyNumberFormat="1" applyFont="1" applyFill="1" applyBorder="1" applyAlignment="1">
      <alignment vertical="center"/>
    </xf>
    <xf numFmtId="0" fontId="2" fillId="0" borderId="1" xfId="5" applyFont="1" applyFill="1" applyAlignment="1">
      <alignment vertical="center"/>
    </xf>
    <xf numFmtId="0" fontId="0" fillId="0" borderId="2" xfId="6" applyNumberFormat="1" applyFont="1" applyFill="1" applyBorder="1" applyAlignment="1">
      <alignment horizontal="left" vertical="center"/>
    </xf>
    <xf numFmtId="0" fontId="2" fillId="0" borderId="2" xfId="5" applyFont="1" applyFill="1" applyBorder="1" applyAlignment="1">
      <alignment vertical="center"/>
    </xf>
    <xf numFmtId="165" fontId="0" fillId="0" borderId="2" xfId="6" applyNumberFormat="1" applyFont="1" applyFill="1" applyBorder="1" applyAlignment="1">
      <alignment vertical="center" wrapText="1"/>
    </xf>
    <xf numFmtId="0" fontId="2" fillId="0" borderId="1" xfId="5" applyFont="1" applyFill="1" applyAlignment="1">
      <alignment vertical="center" wrapText="1"/>
    </xf>
    <xf numFmtId="165" fontId="15" fillId="9" borderId="2" xfId="6" applyNumberFormat="1" applyFont="1" applyFill="1" applyBorder="1" applyAlignment="1">
      <alignment vertical="center"/>
    </xf>
    <xf numFmtId="0" fontId="2" fillId="0" borderId="1" xfId="5" applyFont="1" applyAlignment="1">
      <alignment horizontal="left" vertical="center"/>
    </xf>
    <xf numFmtId="0" fontId="13" fillId="0" borderId="0" xfId="0" applyFont="1" applyAlignment="1">
      <alignment horizontal="center"/>
    </xf>
    <xf numFmtId="0" fontId="2" fillId="0" borderId="2" xfId="5" applyFill="1" applyBorder="1" applyAlignment="1">
      <alignment horizontal="left" vertical="center"/>
    </xf>
    <xf numFmtId="0" fontId="2" fillId="0" borderId="2" xfId="5" applyFont="1" applyFill="1" applyBorder="1" applyAlignment="1">
      <alignment horizontal="left" vertical="center"/>
    </xf>
    <xf numFmtId="0" fontId="16" fillId="0" borderId="2" xfId="0" applyFont="1" applyBorder="1" applyAlignment="1"/>
    <xf numFmtId="165" fontId="16" fillId="0" borderId="2" xfId="0" applyNumberFormat="1" applyFont="1" applyBorder="1" applyAlignment="1"/>
    <xf numFmtId="165" fontId="5" fillId="2" borderId="2" xfId="6" applyNumberFormat="1" applyFont="1" applyFill="1" applyBorder="1" applyAlignment="1">
      <alignment vertical="center"/>
    </xf>
    <xf numFmtId="0" fontId="2" fillId="0" borderId="2" xfId="5" applyFill="1" applyBorder="1" applyAlignment="1">
      <alignment horizontal="left" vertical="center" wrapText="1"/>
    </xf>
    <xf numFmtId="0" fontId="2" fillId="0" borderId="2" xfId="5" applyFont="1" applyFill="1" applyBorder="1" applyAlignment="1">
      <alignment horizontal="left" vertical="center" wrapText="1"/>
    </xf>
    <xf numFmtId="0" fontId="2" fillId="0" borderId="1" xfId="5" applyFont="1" applyAlignment="1">
      <alignment horizontal="left" vertical="center" wrapText="1"/>
    </xf>
    <xf numFmtId="0" fontId="2" fillId="0" borderId="1" xfId="5" applyFont="1" applyAlignment="1">
      <alignment horizontal="center" vertical="center"/>
    </xf>
    <xf numFmtId="165" fontId="5" fillId="2" borderId="2" xfId="6" applyNumberFormat="1" applyFont="1" applyFill="1" applyBorder="1" applyAlignment="1">
      <alignment horizontal="left" vertical="center"/>
    </xf>
    <xf numFmtId="0" fontId="2" fillId="0" borderId="1" xfId="5" applyFont="1" applyFill="1" applyAlignment="1">
      <alignment horizontal="left" vertical="center"/>
    </xf>
    <xf numFmtId="165" fontId="2" fillId="0" borderId="1" xfId="5" applyNumberFormat="1" applyFont="1" applyAlignment="1">
      <alignment vertical="center"/>
    </xf>
    <xf numFmtId="9" fontId="2" fillId="0" borderId="1" xfId="2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9" fontId="2" fillId="0" borderId="2" xfId="2" applyFont="1" applyFill="1" applyBorder="1" applyAlignment="1">
      <alignment horizontal="center" vertical="center"/>
    </xf>
    <xf numFmtId="165" fontId="0" fillId="3" borderId="2" xfId="6" applyNumberFormat="1" applyFont="1" applyFill="1" applyBorder="1" applyAlignment="1">
      <alignment vertical="center"/>
    </xf>
    <xf numFmtId="14" fontId="5" fillId="8" borderId="2" xfId="6" applyNumberFormat="1" applyFont="1" applyFill="1" applyBorder="1" applyAlignment="1">
      <alignment horizontal="center" vertical="center" wrapText="1"/>
    </xf>
    <xf numFmtId="49" fontId="11" fillId="6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49" fontId="2" fillId="0" borderId="2" xfId="5" applyNumberFormat="1" applyFill="1" applyBorder="1" applyAlignment="1">
      <alignment vertical="center"/>
    </xf>
    <xf numFmtId="0" fontId="2" fillId="0" borderId="2" xfId="5" applyFill="1" applyBorder="1" applyAlignment="1">
      <alignment vertical="center" wrapText="1"/>
    </xf>
    <xf numFmtId="0" fontId="2" fillId="0" borderId="2" xfId="5" applyFill="1" applyBorder="1" applyAlignment="1">
      <alignment vertical="center"/>
    </xf>
    <xf numFmtId="0" fontId="2" fillId="0" borderId="2" xfId="5" applyFont="1" applyFill="1" applyBorder="1" applyAlignment="1">
      <alignment vertical="center" wrapText="1"/>
    </xf>
    <xf numFmtId="165" fontId="13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vertical="center"/>
    </xf>
    <xf numFmtId="0" fontId="17" fillId="0" borderId="7" xfId="0" applyFont="1" applyFill="1" applyBorder="1" applyAlignment="1"/>
    <xf numFmtId="165" fontId="18" fillId="10" borderId="7" xfId="1" applyNumberFormat="1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14" fontId="5" fillId="8" borderId="4" xfId="5" applyNumberFormat="1" applyFont="1" applyFill="1" applyBorder="1" applyAlignment="1">
      <alignment horizontal="center" vertical="center"/>
    </xf>
    <xf numFmtId="14" fontId="5" fillId="8" borderId="2" xfId="5" applyNumberFormat="1" applyFont="1" applyFill="1" applyBorder="1" applyAlignment="1">
      <alignment horizontal="center" vertical="center" wrapText="1"/>
    </xf>
    <xf numFmtId="14" fontId="2" fillId="0" borderId="1" xfId="5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7" borderId="2" xfId="0" applyFont="1" applyFill="1" applyBorder="1" applyAlignment="1">
      <alignment horizontal="left"/>
    </xf>
    <xf numFmtId="0" fontId="15" fillId="9" borderId="4" xfId="5" applyFont="1" applyFill="1" applyBorder="1" applyAlignment="1">
      <alignment horizontal="left" vertical="center"/>
    </xf>
    <xf numFmtId="0" fontId="15" fillId="9" borderId="6" xfId="5" applyFont="1" applyFill="1" applyBorder="1" applyAlignment="1">
      <alignment horizontal="left" vertical="center"/>
    </xf>
    <xf numFmtId="0" fontId="15" fillId="9" borderId="3" xfId="5" applyFont="1" applyFill="1" applyBorder="1" applyAlignment="1">
      <alignment horizontal="left" vertical="center"/>
    </xf>
    <xf numFmtId="165" fontId="18" fillId="10" borderId="7" xfId="1" applyNumberFormat="1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left" vertical="center"/>
    </xf>
    <xf numFmtId="0" fontId="2" fillId="0" borderId="2" xfId="5" applyFont="1" applyFill="1" applyBorder="1" applyAlignment="1">
      <alignment horizontal="left" vertical="center"/>
    </xf>
    <xf numFmtId="0" fontId="2" fillId="0" borderId="2" xfId="5" applyFill="1" applyBorder="1" applyAlignment="1">
      <alignment horizontal="left" vertical="center"/>
    </xf>
    <xf numFmtId="0" fontId="2" fillId="2" borderId="2" xfId="5" applyFill="1" applyBorder="1" applyAlignment="1">
      <alignment horizontal="left" vertical="center"/>
    </xf>
  </cellXfs>
  <cellStyles count="7">
    <cellStyle name="Millares" xfId="1" builtinId="3"/>
    <cellStyle name="Millares 2" xfId="6"/>
    <cellStyle name="Normal" xfId="0" builtinId="0"/>
    <cellStyle name="Normal 2" xfId="4"/>
    <cellStyle name="Normal 3" xfId="3"/>
    <cellStyle name="Normal 4" xfId="5"/>
    <cellStyle name="Porcentaje" xfId="2" builtinId="5"/>
  </cellStyles>
  <dxfs count="9">
    <dxf>
      <font>
        <b/>
        <i val="0"/>
      </font>
      <fill>
        <patternFill>
          <bgColor theme="6" tint="-0.24994659260841701"/>
        </patternFill>
      </fill>
    </dxf>
    <dxf>
      <font>
        <b/>
        <i val="0"/>
      </font>
      <fill>
        <patternFill>
          <bgColor theme="6" tint="-0.24994659260841701"/>
        </patternFill>
      </fill>
      <border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LRE" table="0" count="9">
      <tableStyleElement type="wholeTable" dxfId="8"/>
      <tableStyleElement type="headerRow" dxfId="7"/>
      <tableStyleElement type="totalRow" dxfId="6"/>
      <tableStyleElement type="thirdSubtotalColumn" dxfId="5"/>
      <tableStyleElement type="firstSubtotalRow" dxfId="4"/>
      <tableStyleElement type="secondSubtotalRow" dxfId="3"/>
      <tableStyleElement type="thir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466725</xdr:colOff>
      <xdr:row>2</xdr:row>
      <xdr:rowOff>285751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13347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466725</xdr:colOff>
      <xdr:row>3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133475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392642</xdr:colOff>
      <xdr:row>3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1334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6"/>
  <sheetViews>
    <sheetView showGridLines="0" topLeftCell="A37" zoomScaleNormal="100" workbookViewId="0">
      <selection activeCell="G63" sqref="G63"/>
    </sheetView>
  </sheetViews>
  <sheetFormatPr baseColWidth="10" defaultRowHeight="12.75" x14ac:dyDescent="0.2"/>
  <cols>
    <col min="1" max="1" width="11.140625" style="4" bestFit="1" customWidth="1"/>
    <col min="2" max="2" width="21.85546875" bestFit="1" customWidth="1"/>
    <col min="3" max="3" width="23" bestFit="1" customWidth="1"/>
    <col min="4" max="4" width="16.85546875" style="4" bestFit="1" customWidth="1"/>
    <col min="5" max="6" width="18" style="4" bestFit="1" customWidth="1"/>
    <col min="7" max="7" width="16.85546875" style="5" bestFit="1" customWidth="1"/>
    <col min="8" max="9" width="16.85546875" style="5" customWidth="1"/>
    <col min="10" max="11" width="16.85546875" style="5" bestFit="1" customWidth="1"/>
    <col min="12" max="12" width="16.85546875" bestFit="1" customWidth="1"/>
    <col min="13" max="13" width="17.42578125" style="4" bestFit="1" customWidth="1"/>
    <col min="14" max="16" width="16.85546875" bestFit="1" customWidth="1"/>
    <col min="17" max="17" width="15.42578125" bestFit="1" customWidth="1"/>
    <col min="18" max="18" width="17.42578125" style="25" bestFit="1" customWidth="1"/>
    <col min="19" max="21" width="16.85546875" style="25" bestFit="1" customWidth="1"/>
    <col min="22" max="22" width="15.42578125" bestFit="1" customWidth="1"/>
    <col min="23" max="23" width="17.42578125" style="25" bestFit="1" customWidth="1"/>
    <col min="24" max="26" width="16.85546875" style="25" bestFit="1" customWidth="1"/>
    <col min="27" max="27" width="15.42578125" style="4" bestFit="1" customWidth="1"/>
    <col min="28" max="28" width="17.42578125" style="25" bestFit="1" customWidth="1"/>
    <col min="29" max="31" width="16.85546875" style="25" bestFit="1" customWidth="1"/>
    <col min="32" max="32" width="15.42578125" style="4" bestFit="1" customWidth="1"/>
    <col min="33" max="33" width="17.42578125" style="25" bestFit="1" customWidth="1"/>
    <col min="34" max="36" width="16.85546875" style="25" bestFit="1" customWidth="1"/>
    <col min="37" max="37" width="15.42578125" style="4" bestFit="1" customWidth="1"/>
    <col min="38" max="38" width="17.42578125" style="25" bestFit="1" customWidth="1"/>
    <col min="39" max="41" width="16.85546875" style="25" bestFit="1" customWidth="1"/>
    <col min="42" max="42" width="15.42578125" style="4" bestFit="1" customWidth="1"/>
    <col min="43" max="43" width="17.42578125" style="25" bestFit="1" customWidth="1"/>
    <col min="44" max="46" width="16.85546875" style="25" bestFit="1" customWidth="1"/>
    <col min="47" max="47" width="15.42578125" style="4" bestFit="1" customWidth="1"/>
    <col min="48" max="48" width="17.42578125" style="25" bestFit="1" customWidth="1"/>
    <col min="49" max="50" width="16.85546875" style="25" bestFit="1" customWidth="1"/>
    <col min="51" max="51" width="16.85546875" style="46" bestFit="1" customWidth="1"/>
    <col min="52" max="52" width="15.42578125" style="46" bestFit="1" customWidth="1"/>
    <col min="53" max="53" width="17.42578125" style="46" bestFit="1" customWidth="1"/>
    <col min="54" max="55" width="16.85546875" style="46" bestFit="1" customWidth="1"/>
    <col min="56" max="56" width="16.85546875" style="25" bestFit="1" customWidth="1"/>
    <col min="57" max="57" width="15.42578125" style="4" bestFit="1" customWidth="1"/>
    <col min="58" max="58" width="17.42578125" style="25" bestFit="1" customWidth="1"/>
    <col min="59" max="61" width="16.85546875" style="25" bestFit="1" customWidth="1"/>
    <col min="62" max="62" width="15.42578125" style="4" bestFit="1" customWidth="1"/>
    <col min="63" max="63" width="17.42578125" style="25" bestFit="1" customWidth="1"/>
    <col min="64" max="66" width="16.85546875" style="25" bestFit="1" customWidth="1"/>
    <col min="67" max="67" width="15.42578125" style="4" bestFit="1" customWidth="1"/>
    <col min="68" max="68" width="17.42578125" style="25" bestFit="1" customWidth="1"/>
    <col min="69" max="71" width="16.85546875" style="25" bestFit="1" customWidth="1"/>
    <col min="72" max="72" width="15.42578125" style="4" bestFit="1" customWidth="1"/>
    <col min="73" max="73" width="17.42578125" style="25" bestFit="1" customWidth="1"/>
    <col min="74" max="76" width="16.85546875" style="25" bestFit="1" customWidth="1"/>
  </cols>
  <sheetData>
    <row r="1" spans="1:76" x14ac:dyDescent="0.2">
      <c r="A1" s="110" t="s">
        <v>51</v>
      </c>
      <c r="B1" s="110"/>
      <c r="C1" s="111"/>
      <c r="F1" s="5"/>
    </row>
    <row r="2" spans="1:76" x14ac:dyDescent="0.2">
      <c r="A2" s="16">
        <v>1</v>
      </c>
      <c r="B2" s="29" t="s">
        <v>54</v>
      </c>
      <c r="C2" s="15">
        <v>23133985187</v>
      </c>
      <c r="D2" s="7" t="s">
        <v>72</v>
      </c>
      <c r="E2" s="7"/>
    </row>
    <row r="3" spans="1:76" x14ac:dyDescent="0.2">
      <c r="A3" s="16">
        <v>2</v>
      </c>
      <c r="B3" s="29" t="s">
        <v>54</v>
      </c>
      <c r="C3" s="15">
        <v>25605078975</v>
      </c>
      <c r="D3" s="7" t="s">
        <v>72</v>
      </c>
      <c r="F3" s="5"/>
    </row>
    <row r="4" spans="1:76" x14ac:dyDescent="0.2">
      <c r="A4" s="16">
        <v>3</v>
      </c>
      <c r="B4" s="34">
        <v>45107</v>
      </c>
      <c r="C4" s="15">
        <v>2000000000</v>
      </c>
      <c r="D4" s="7" t="s">
        <v>73</v>
      </c>
      <c r="F4" s="5"/>
    </row>
    <row r="5" spans="1:76" x14ac:dyDescent="0.2">
      <c r="A5" s="16">
        <v>4</v>
      </c>
      <c r="B5" s="34">
        <v>45290</v>
      </c>
      <c r="C5" s="15">
        <v>2000000000</v>
      </c>
      <c r="D5" s="7" t="s">
        <v>73</v>
      </c>
      <c r="F5" s="5"/>
    </row>
    <row r="6" spans="1:76" x14ac:dyDescent="0.2">
      <c r="A6" s="16">
        <v>5</v>
      </c>
      <c r="B6" s="34">
        <v>45473</v>
      </c>
      <c r="C6" s="15">
        <v>750000000</v>
      </c>
      <c r="D6" s="7" t="s">
        <v>73</v>
      </c>
      <c r="E6" s="5"/>
      <c r="F6" s="5"/>
    </row>
    <row r="7" spans="1:76" x14ac:dyDescent="0.2">
      <c r="A7" s="16">
        <v>6</v>
      </c>
      <c r="B7" s="34">
        <v>45656</v>
      </c>
      <c r="C7" s="15">
        <v>750000000</v>
      </c>
      <c r="D7" s="7" t="s">
        <v>73</v>
      </c>
      <c r="E7" s="5"/>
      <c r="F7" s="5"/>
    </row>
    <row r="8" spans="1:76" x14ac:dyDescent="0.2">
      <c r="A8" s="16">
        <v>7</v>
      </c>
      <c r="B8" s="34">
        <v>45838</v>
      </c>
      <c r="C8" s="15">
        <v>5000000000</v>
      </c>
      <c r="D8" s="7" t="s">
        <v>73</v>
      </c>
      <c r="E8" s="5"/>
      <c r="F8" s="5"/>
    </row>
    <row r="9" spans="1:76" x14ac:dyDescent="0.2">
      <c r="A9" s="16">
        <v>8</v>
      </c>
      <c r="B9" s="34">
        <v>46021</v>
      </c>
      <c r="C9" s="15">
        <v>5000000000</v>
      </c>
      <c r="D9" s="7" t="s">
        <v>73</v>
      </c>
      <c r="E9" s="5"/>
      <c r="F9" s="5"/>
      <c r="AF9" s="23"/>
    </row>
    <row r="10" spans="1:76" x14ac:dyDescent="0.2">
      <c r="A10" s="16">
        <v>9</v>
      </c>
      <c r="B10" s="34">
        <v>46203</v>
      </c>
      <c r="C10" s="15">
        <v>7000000000</v>
      </c>
      <c r="D10" s="7" t="s">
        <v>73</v>
      </c>
      <c r="E10" s="5"/>
      <c r="F10" s="5"/>
      <c r="AF10" s="23"/>
    </row>
    <row r="11" spans="1:76" x14ac:dyDescent="0.2">
      <c r="A11" s="16">
        <v>10</v>
      </c>
      <c r="B11" s="34">
        <v>46386</v>
      </c>
      <c r="C11" s="15">
        <v>3601576595</v>
      </c>
      <c r="D11" s="7" t="s">
        <v>73</v>
      </c>
      <c r="E11" s="5"/>
      <c r="F11" s="5"/>
      <c r="AF11" s="23"/>
    </row>
    <row r="12" spans="1:76" s="4" customFormat="1" x14ac:dyDescent="0.2">
      <c r="A12" s="16">
        <v>11</v>
      </c>
      <c r="B12" s="34">
        <v>46386</v>
      </c>
      <c r="C12" s="15">
        <v>3398423405</v>
      </c>
      <c r="D12" s="7" t="s">
        <v>72</v>
      </c>
      <c r="E12" s="5"/>
      <c r="F12" s="5"/>
      <c r="G12" s="5"/>
      <c r="H12" s="5"/>
      <c r="I12" s="5"/>
      <c r="J12" s="5"/>
      <c r="K12" s="5"/>
      <c r="R12" s="25"/>
      <c r="S12" s="25"/>
      <c r="T12" s="25"/>
      <c r="U12" s="25"/>
      <c r="W12" s="25"/>
      <c r="X12" s="25"/>
      <c r="Y12" s="25"/>
      <c r="Z12" s="25"/>
      <c r="AB12" s="25"/>
      <c r="AC12" s="25"/>
      <c r="AD12" s="25"/>
      <c r="AE12" s="25"/>
      <c r="AF12" s="23"/>
      <c r="AG12" s="25"/>
      <c r="AH12" s="25"/>
      <c r="AI12" s="25"/>
      <c r="AJ12" s="25"/>
      <c r="AL12" s="25"/>
      <c r="AM12" s="25"/>
      <c r="AN12" s="25"/>
      <c r="AO12" s="25"/>
      <c r="AQ12" s="25"/>
      <c r="AR12" s="25"/>
      <c r="AS12" s="25"/>
      <c r="AT12" s="25"/>
      <c r="AV12" s="25"/>
      <c r="AW12" s="25"/>
      <c r="AX12" s="25"/>
      <c r="AY12" s="46"/>
      <c r="AZ12" s="46"/>
      <c r="BA12" s="46"/>
      <c r="BB12" s="46"/>
      <c r="BC12" s="46"/>
      <c r="BD12" s="25"/>
      <c r="BF12" s="25"/>
      <c r="BG12" s="25"/>
      <c r="BH12" s="25"/>
      <c r="BI12" s="25"/>
      <c r="BK12" s="25"/>
      <c r="BL12" s="25"/>
      <c r="BM12" s="25"/>
      <c r="BN12" s="25"/>
      <c r="BP12" s="25"/>
      <c r="BQ12" s="25"/>
      <c r="BR12" s="25"/>
      <c r="BS12" s="25"/>
      <c r="BU12" s="25"/>
      <c r="BV12" s="25"/>
      <c r="BW12" s="25"/>
      <c r="BX12" s="25"/>
    </row>
    <row r="13" spans="1:76" s="4" customFormat="1" ht="17.25" x14ac:dyDescent="0.2">
      <c r="A13" s="16">
        <v>12</v>
      </c>
      <c r="B13" s="34">
        <v>46568</v>
      </c>
      <c r="C13" s="15">
        <v>5782000000</v>
      </c>
      <c r="D13" s="7" t="s">
        <v>72</v>
      </c>
      <c r="E13" s="5"/>
      <c r="F13" s="5"/>
      <c r="G13" s="5"/>
      <c r="H13" s="5"/>
      <c r="I13" s="5"/>
      <c r="J13" s="5"/>
      <c r="K13" s="5"/>
      <c r="R13" s="25"/>
      <c r="S13" s="25"/>
      <c r="T13" s="25"/>
      <c r="U13" s="25"/>
      <c r="W13" s="25"/>
      <c r="X13" s="25"/>
      <c r="Y13" s="25"/>
      <c r="Z13" s="25"/>
      <c r="AB13" s="25"/>
      <c r="AC13" s="25"/>
      <c r="AD13" s="25"/>
      <c r="AE13" s="25"/>
      <c r="AF13" s="24"/>
      <c r="AG13" s="25"/>
      <c r="AH13" s="25"/>
      <c r="AI13" s="25"/>
      <c r="AJ13" s="25"/>
      <c r="AL13" s="25"/>
      <c r="AM13" s="25"/>
      <c r="AN13" s="25"/>
      <c r="AO13" s="25"/>
      <c r="AQ13" s="25"/>
      <c r="AR13" s="25"/>
      <c r="AS13" s="25"/>
      <c r="AT13" s="25"/>
      <c r="AV13" s="25"/>
      <c r="AW13" s="25"/>
      <c r="AX13" s="25"/>
      <c r="AY13" s="46"/>
      <c r="AZ13" s="46"/>
      <c r="BA13" s="46"/>
      <c r="BB13" s="46"/>
      <c r="BC13" s="46"/>
      <c r="BD13" s="25"/>
      <c r="BF13" s="25"/>
      <c r="BG13" s="25"/>
      <c r="BH13" s="25"/>
      <c r="BI13" s="25"/>
      <c r="BK13" s="25"/>
      <c r="BL13" s="25"/>
      <c r="BM13" s="25"/>
      <c r="BN13" s="25"/>
      <c r="BP13" s="25"/>
      <c r="BQ13" s="25"/>
      <c r="BR13" s="25"/>
      <c r="BS13" s="25"/>
      <c r="BU13" s="25"/>
      <c r="BV13" s="25"/>
      <c r="BW13" s="25"/>
      <c r="BX13" s="25"/>
    </row>
    <row r="14" spans="1:76" s="4" customFormat="1" ht="17.25" x14ac:dyDescent="0.2">
      <c r="A14" s="16">
        <v>13</v>
      </c>
      <c r="B14" s="34">
        <v>46751</v>
      </c>
      <c r="C14" s="15">
        <v>5782000000</v>
      </c>
      <c r="D14" s="7" t="s">
        <v>72</v>
      </c>
      <c r="E14" s="5"/>
      <c r="F14" s="5"/>
      <c r="G14" s="5"/>
      <c r="H14" s="5"/>
      <c r="I14" s="5"/>
      <c r="J14" s="5"/>
      <c r="K14" s="5"/>
      <c r="R14" s="25"/>
      <c r="S14" s="25"/>
      <c r="T14" s="25"/>
      <c r="U14" s="25"/>
      <c r="W14" s="25"/>
      <c r="X14" s="25"/>
      <c r="Y14" s="25"/>
      <c r="Z14" s="25"/>
      <c r="AB14" s="25"/>
      <c r="AC14" s="25"/>
      <c r="AD14" s="25"/>
      <c r="AE14" s="25"/>
      <c r="AF14" s="24"/>
      <c r="AG14" s="25"/>
      <c r="AH14" s="25"/>
      <c r="AI14" s="25"/>
      <c r="AJ14" s="25"/>
      <c r="AL14" s="25"/>
      <c r="AM14" s="25"/>
      <c r="AN14" s="25"/>
      <c r="AO14" s="25"/>
      <c r="AQ14" s="25"/>
      <c r="AR14" s="25"/>
      <c r="AS14" s="25"/>
      <c r="AT14" s="25"/>
      <c r="AV14" s="25"/>
      <c r="AW14" s="25"/>
      <c r="AX14" s="25"/>
      <c r="AY14" s="46"/>
      <c r="AZ14" s="46"/>
      <c r="BA14" s="46"/>
      <c r="BB14" s="46"/>
      <c r="BC14" s="46"/>
      <c r="BD14" s="25"/>
      <c r="BF14" s="25"/>
      <c r="BG14" s="25"/>
      <c r="BH14" s="25"/>
      <c r="BI14" s="25"/>
      <c r="BK14" s="25"/>
      <c r="BL14" s="25"/>
      <c r="BM14" s="25"/>
      <c r="BN14" s="25"/>
      <c r="BP14" s="25"/>
      <c r="BQ14" s="25"/>
      <c r="BR14" s="25"/>
      <c r="BS14" s="25"/>
      <c r="BU14" s="25"/>
      <c r="BV14" s="25"/>
      <c r="BW14" s="25"/>
      <c r="BX14" s="25"/>
    </row>
    <row r="15" spans="1:76" s="4" customFormat="1" ht="17.25" x14ac:dyDescent="0.2">
      <c r="A15" s="16">
        <v>14</v>
      </c>
      <c r="B15" s="34">
        <v>46934</v>
      </c>
      <c r="C15" s="15">
        <v>2037576595</v>
      </c>
      <c r="D15" s="7" t="s">
        <v>72</v>
      </c>
      <c r="E15" s="5"/>
      <c r="F15" s="5"/>
      <c r="G15" s="5"/>
      <c r="H15" s="5"/>
      <c r="I15" s="5"/>
      <c r="J15" s="5"/>
      <c r="K15" s="5"/>
      <c r="R15" s="25"/>
      <c r="S15" s="25"/>
      <c r="T15" s="25"/>
      <c r="U15" s="25"/>
      <c r="W15" s="25"/>
      <c r="X15" s="25"/>
      <c r="Y15" s="25"/>
      <c r="Z15" s="25"/>
      <c r="AB15" s="25"/>
      <c r="AC15" s="25"/>
      <c r="AD15" s="25"/>
      <c r="AE15" s="25"/>
      <c r="AF15" s="24"/>
      <c r="AG15" s="25"/>
      <c r="AH15" s="25"/>
      <c r="AI15" s="25"/>
      <c r="AJ15" s="25"/>
      <c r="AL15" s="25"/>
      <c r="AM15" s="25"/>
      <c r="AN15" s="25"/>
      <c r="AO15" s="25"/>
      <c r="AQ15" s="25"/>
      <c r="AR15" s="25"/>
      <c r="AS15" s="25"/>
      <c r="AT15" s="25"/>
      <c r="AV15" s="25"/>
      <c r="AW15" s="25"/>
      <c r="AX15" s="25"/>
      <c r="AY15" s="46"/>
      <c r="AZ15" s="46"/>
      <c r="BA15" s="46"/>
      <c r="BB15" s="46"/>
      <c r="BC15" s="46"/>
      <c r="BD15" s="25"/>
      <c r="BF15" s="25"/>
      <c r="BG15" s="25"/>
      <c r="BH15" s="25"/>
      <c r="BI15" s="25"/>
      <c r="BK15" s="25"/>
      <c r="BL15" s="25"/>
      <c r="BM15" s="25"/>
      <c r="BN15" s="25"/>
      <c r="BP15" s="25"/>
      <c r="BQ15" s="25"/>
      <c r="BR15" s="25"/>
      <c r="BS15" s="25"/>
      <c r="BU15" s="25"/>
      <c r="BV15" s="25"/>
      <c r="BW15" s="25"/>
      <c r="BX15" s="25"/>
    </row>
    <row r="16" spans="1:76" x14ac:dyDescent="0.2">
      <c r="A16" s="16"/>
      <c r="B16" s="35" t="s">
        <v>44</v>
      </c>
      <c r="C16" s="33">
        <f>SUM(C2:C15)</f>
        <v>91840640757</v>
      </c>
      <c r="E16" s="5"/>
      <c r="F16" s="5"/>
      <c r="AF16" s="23"/>
    </row>
    <row r="17" spans="1:76" x14ac:dyDescent="0.2">
      <c r="A17" s="35"/>
      <c r="B17" s="81" t="s">
        <v>43</v>
      </c>
      <c r="C17" s="82">
        <f>+C16-F74-K74-P74-U74-Z74-AE74-AJ74-AO74-AT74-AY74-BD74-BI74-BN74-BS74</f>
        <v>4.100799560546875E-5</v>
      </c>
      <c r="E17" s="6"/>
      <c r="F17" s="6"/>
    </row>
    <row r="18" spans="1:76" s="4" customFormat="1" x14ac:dyDescent="0.2">
      <c r="G18" s="5"/>
      <c r="H18" s="5"/>
      <c r="I18" s="5"/>
      <c r="J18" s="5"/>
      <c r="K18" s="5"/>
      <c r="R18" s="25"/>
      <c r="S18" s="25"/>
      <c r="T18" s="25"/>
      <c r="U18" s="25"/>
      <c r="W18" s="25"/>
      <c r="X18" s="25"/>
      <c r="Y18" s="25"/>
      <c r="Z18" s="25"/>
      <c r="AB18" s="25"/>
      <c r="AC18" s="25"/>
      <c r="AD18" s="25"/>
      <c r="AE18" s="25"/>
      <c r="AG18" s="25"/>
      <c r="AH18" s="25"/>
      <c r="AI18" s="25"/>
      <c r="AJ18" s="25"/>
      <c r="AL18" s="25"/>
      <c r="AM18" s="25"/>
      <c r="AN18" s="25"/>
      <c r="AO18" s="25"/>
      <c r="AQ18" s="25"/>
      <c r="AR18" s="25"/>
      <c r="AS18" s="25"/>
      <c r="AT18" s="25"/>
      <c r="AV18" s="25"/>
      <c r="AW18" s="25"/>
      <c r="AX18" s="25"/>
      <c r="AY18" s="46"/>
      <c r="AZ18" s="46"/>
      <c r="BA18" s="46"/>
      <c r="BB18" s="46"/>
      <c r="BC18" s="46"/>
      <c r="BD18" s="25"/>
      <c r="BF18" s="25"/>
      <c r="BG18" s="25"/>
      <c r="BH18" s="25"/>
      <c r="BI18" s="25"/>
      <c r="BK18" s="25"/>
      <c r="BL18" s="25"/>
      <c r="BM18" s="25"/>
      <c r="BN18" s="25"/>
      <c r="BP18" s="25"/>
      <c r="BQ18" s="25"/>
      <c r="BR18" s="25"/>
      <c r="BS18" s="25"/>
      <c r="BU18" s="25"/>
      <c r="BV18" s="25"/>
      <c r="BW18" s="25"/>
      <c r="BX18" s="25"/>
    </row>
    <row r="19" spans="1:76" s="25" customFormat="1" ht="15.75" x14ac:dyDescent="0.25">
      <c r="A19" s="115" t="s">
        <v>52</v>
      </c>
      <c r="B19" s="115"/>
      <c r="C19" s="115"/>
      <c r="D19" s="115"/>
      <c r="E19" s="115"/>
      <c r="F19" s="115"/>
      <c r="G19" s="115"/>
      <c r="H19" s="115"/>
      <c r="I19" s="5"/>
      <c r="J19" s="5"/>
      <c r="K19" s="5"/>
      <c r="AY19" s="46"/>
      <c r="AZ19" s="46"/>
      <c r="BA19" s="46"/>
      <c r="BB19" s="46"/>
      <c r="BC19" s="46"/>
    </row>
    <row r="20" spans="1:76" s="26" customFormat="1" x14ac:dyDescent="0.2">
      <c r="A20" s="36"/>
      <c r="B20" s="36"/>
      <c r="C20" s="36" t="s">
        <v>46</v>
      </c>
      <c r="D20" s="36" t="s">
        <v>45</v>
      </c>
      <c r="E20" s="36" t="s">
        <v>47</v>
      </c>
      <c r="F20" s="36" t="s">
        <v>48</v>
      </c>
      <c r="G20" s="37" t="s">
        <v>49</v>
      </c>
      <c r="H20" s="37" t="s">
        <v>50</v>
      </c>
      <c r="I20" s="38"/>
      <c r="J20" s="38"/>
      <c r="K20" s="38"/>
    </row>
    <row r="21" spans="1:76" s="25" customFormat="1" ht="15.75" x14ac:dyDescent="0.2">
      <c r="A21" s="1" t="s">
        <v>15</v>
      </c>
      <c r="B21" s="12" t="s">
        <v>26</v>
      </c>
      <c r="C21" s="30">
        <v>0.157</v>
      </c>
      <c r="D21" s="15">
        <v>731897061</v>
      </c>
      <c r="E21" s="15">
        <v>2205357931</v>
      </c>
      <c r="F21" s="15">
        <v>492497350</v>
      </c>
      <c r="G21" s="15">
        <v>1025715652</v>
      </c>
      <c r="H21" s="15">
        <f>SUM(D21:G21)</f>
        <v>4455467994</v>
      </c>
      <c r="I21" s="5"/>
      <c r="J21" s="5"/>
      <c r="K21" s="5"/>
      <c r="AY21" s="46"/>
      <c r="AZ21" s="46"/>
      <c r="BA21" s="46"/>
      <c r="BB21" s="46"/>
      <c r="BC21" s="46"/>
    </row>
    <row r="22" spans="1:76" s="25" customFormat="1" ht="15.75" x14ac:dyDescent="0.2">
      <c r="A22" s="1" t="s">
        <v>12</v>
      </c>
      <c r="B22" s="12" t="s">
        <v>27</v>
      </c>
      <c r="C22" s="30">
        <v>0.14599999999999999</v>
      </c>
      <c r="D22" s="31">
        <v>680617648</v>
      </c>
      <c r="E22" s="31">
        <v>2050842406.5</v>
      </c>
      <c r="F22" s="31">
        <v>457991167.19999999</v>
      </c>
      <c r="G22" s="31">
        <v>953850225.20000005</v>
      </c>
      <c r="H22" s="31">
        <f t="shared" ref="H22:H30" si="0">SUM(D22:G22)</f>
        <v>4143301446.8999996</v>
      </c>
      <c r="I22" s="28"/>
      <c r="J22" s="28"/>
      <c r="K22" s="5"/>
      <c r="AY22" s="46"/>
      <c r="AZ22" s="46"/>
      <c r="BA22" s="46"/>
      <c r="BB22" s="46"/>
      <c r="BC22" s="46"/>
    </row>
    <row r="23" spans="1:76" s="25" customFormat="1" ht="15.75" x14ac:dyDescent="0.2">
      <c r="A23" s="1" t="s">
        <v>14</v>
      </c>
      <c r="B23" s="12" t="s">
        <v>28</v>
      </c>
      <c r="C23" s="30">
        <v>0.108</v>
      </c>
      <c r="D23" s="31">
        <v>503470590.19999999</v>
      </c>
      <c r="E23" s="31">
        <v>1517061506.2</v>
      </c>
      <c r="F23" s="31">
        <v>338787986</v>
      </c>
      <c r="G23" s="31">
        <v>705587837.20000005</v>
      </c>
      <c r="H23" s="31">
        <f t="shared" si="0"/>
        <v>3064907919.6000004</v>
      </c>
      <c r="I23" s="28"/>
      <c r="J23" s="28"/>
      <c r="K23" s="5"/>
      <c r="AY23" s="46"/>
      <c r="AZ23" s="46"/>
      <c r="BA23" s="46"/>
      <c r="BB23" s="46"/>
      <c r="BC23" s="46"/>
    </row>
    <row r="24" spans="1:76" s="25" customFormat="1" ht="15.75" x14ac:dyDescent="0.2">
      <c r="A24" s="1" t="s">
        <v>13</v>
      </c>
      <c r="B24" s="12" t="s">
        <v>29</v>
      </c>
      <c r="C24" s="30">
        <v>0.109</v>
      </c>
      <c r="D24" s="31">
        <v>508132354</v>
      </c>
      <c r="E24" s="31">
        <v>1531108372.4000001</v>
      </c>
      <c r="F24" s="31">
        <v>341924912.10000002</v>
      </c>
      <c r="G24" s="31">
        <v>712121058.10000002</v>
      </c>
      <c r="H24" s="31">
        <f t="shared" si="0"/>
        <v>3093286696.5999999</v>
      </c>
      <c r="I24" s="28"/>
      <c r="J24" s="28"/>
      <c r="K24" s="5"/>
      <c r="AY24" s="46"/>
      <c r="AZ24" s="46"/>
      <c r="BA24" s="46"/>
      <c r="BB24" s="46"/>
      <c r="BC24" s="46"/>
    </row>
    <row r="25" spans="1:76" s="25" customFormat="1" ht="15.75" x14ac:dyDescent="0.2">
      <c r="A25" s="1" t="s">
        <v>19</v>
      </c>
      <c r="B25" s="12" t="s">
        <v>30</v>
      </c>
      <c r="C25" s="30">
        <v>0.19900000000000001</v>
      </c>
      <c r="D25" s="15">
        <v>927691179</v>
      </c>
      <c r="E25" s="15">
        <v>2795326294</v>
      </c>
      <c r="F25" s="15">
        <v>624248234</v>
      </c>
      <c r="G25" s="15">
        <v>0</v>
      </c>
      <c r="H25" s="15">
        <f t="shared" si="0"/>
        <v>4347265707</v>
      </c>
      <c r="I25" s="5"/>
      <c r="J25" s="5"/>
      <c r="K25" s="5"/>
      <c r="AY25" s="46"/>
      <c r="AZ25" s="46"/>
      <c r="BA25" s="46"/>
      <c r="BB25" s="46"/>
      <c r="BC25" s="46"/>
    </row>
    <row r="26" spans="1:76" s="25" customFormat="1" ht="15.75" x14ac:dyDescent="0.2">
      <c r="A26" s="1" t="s">
        <v>20</v>
      </c>
      <c r="B26" s="12" t="s">
        <v>31</v>
      </c>
      <c r="C26" s="30">
        <v>7.4999999999999997E-2</v>
      </c>
      <c r="D26" s="15">
        <v>349632354</v>
      </c>
      <c r="E26" s="15">
        <v>1053514935</v>
      </c>
      <c r="F26" s="15">
        <v>235269435</v>
      </c>
      <c r="G26" s="15">
        <v>0</v>
      </c>
      <c r="H26" s="15">
        <f t="shared" si="0"/>
        <v>1638416724</v>
      </c>
      <c r="I26" s="7"/>
      <c r="J26" s="5"/>
      <c r="K26" s="5"/>
      <c r="AY26" s="46"/>
      <c r="AZ26" s="46"/>
      <c r="BA26" s="46"/>
      <c r="BB26" s="46"/>
      <c r="BC26" s="46"/>
    </row>
    <row r="27" spans="1:76" s="25" customFormat="1" ht="15.75" x14ac:dyDescent="0.2">
      <c r="A27" s="1" t="s">
        <v>18</v>
      </c>
      <c r="B27" s="12" t="s">
        <v>32</v>
      </c>
      <c r="C27" s="30">
        <v>0.115</v>
      </c>
      <c r="D27" s="15">
        <v>536102943</v>
      </c>
      <c r="E27" s="15">
        <v>1615389567</v>
      </c>
      <c r="F27" s="15">
        <v>360746467</v>
      </c>
      <c r="G27" s="15">
        <v>0</v>
      </c>
      <c r="H27" s="15">
        <f t="shared" si="0"/>
        <v>2512238977</v>
      </c>
      <c r="I27" s="7"/>
      <c r="J27" s="5"/>
      <c r="K27" s="5"/>
      <c r="AY27" s="46"/>
      <c r="AZ27" s="46"/>
      <c r="BA27" s="46"/>
      <c r="BB27" s="46"/>
      <c r="BC27" s="46"/>
    </row>
    <row r="28" spans="1:76" s="25" customFormat="1" ht="15.75" x14ac:dyDescent="0.2">
      <c r="A28" s="1" t="s">
        <v>16</v>
      </c>
      <c r="B28" s="12" t="s">
        <v>33</v>
      </c>
      <c r="C28" s="30">
        <v>5.8000000000000003E-2</v>
      </c>
      <c r="D28" s="15">
        <v>270382354</v>
      </c>
      <c r="E28" s="15">
        <v>814718216</v>
      </c>
      <c r="F28" s="15">
        <v>181941696</v>
      </c>
      <c r="G28" s="15">
        <v>0</v>
      </c>
      <c r="H28" s="15">
        <f t="shared" si="0"/>
        <v>1267042266</v>
      </c>
      <c r="I28" s="7"/>
      <c r="J28" s="5"/>
      <c r="K28" s="5"/>
      <c r="AY28" s="46"/>
      <c r="AZ28" s="46"/>
      <c r="BA28" s="46"/>
      <c r="BB28" s="46"/>
      <c r="BC28" s="46"/>
    </row>
    <row r="29" spans="1:76" s="25" customFormat="1" ht="15.75" x14ac:dyDescent="0.2">
      <c r="A29" s="1" t="s">
        <v>17</v>
      </c>
      <c r="B29" s="12" t="s">
        <v>34</v>
      </c>
      <c r="C29" s="30">
        <v>2.7E-2</v>
      </c>
      <c r="D29" s="15">
        <v>125867647</v>
      </c>
      <c r="E29" s="15">
        <v>379265377</v>
      </c>
      <c r="F29" s="15">
        <v>84696997</v>
      </c>
      <c r="G29" s="15">
        <v>176396959</v>
      </c>
      <c r="H29" s="15">
        <f t="shared" si="0"/>
        <v>766226980</v>
      </c>
      <c r="I29" s="5"/>
      <c r="J29" s="5"/>
      <c r="K29" s="5"/>
      <c r="AY29" s="46"/>
      <c r="AZ29" s="46"/>
      <c r="BA29" s="46"/>
      <c r="BB29" s="46"/>
      <c r="BC29" s="46"/>
    </row>
    <row r="30" spans="1:76" s="25" customFormat="1" ht="15.75" x14ac:dyDescent="0.2">
      <c r="A30" s="1" t="s">
        <v>11</v>
      </c>
      <c r="B30" s="12" t="s">
        <v>35</v>
      </c>
      <c r="C30" s="30">
        <v>5.0000000000000001E-4</v>
      </c>
      <c r="D30" s="15">
        <v>23308824</v>
      </c>
      <c r="E30" s="15">
        <v>70234329</v>
      </c>
      <c r="F30" s="15">
        <v>15684629</v>
      </c>
      <c r="G30" s="15">
        <v>0</v>
      </c>
      <c r="H30" s="15">
        <f t="shared" si="0"/>
        <v>109227782</v>
      </c>
      <c r="I30" s="5"/>
      <c r="J30" s="5"/>
      <c r="K30" s="5"/>
      <c r="AY30" s="46"/>
      <c r="AZ30" s="46"/>
      <c r="BA30" s="46"/>
      <c r="BB30" s="46"/>
      <c r="BC30" s="46"/>
    </row>
    <row r="31" spans="1:76" s="25" customFormat="1" x14ac:dyDescent="0.2">
      <c r="A31" s="113" t="s">
        <v>44</v>
      </c>
      <c r="B31" s="114"/>
      <c r="C31" s="32">
        <f>SUM(C21:C30)</f>
        <v>0.99450000000000005</v>
      </c>
      <c r="D31" s="33">
        <f>SUM(D21:D30)</f>
        <v>4657102954.1999998</v>
      </c>
      <c r="E31" s="33">
        <f>SUM(E21:E30)</f>
        <v>14032818934.1</v>
      </c>
      <c r="F31" s="33">
        <f>SUM(F21:F30)</f>
        <v>3133788873.3000002</v>
      </c>
      <c r="G31" s="33">
        <f t="shared" ref="G31" si="1">SUM(G21:G30)</f>
        <v>3573671731.5</v>
      </c>
      <c r="H31" s="33">
        <f t="shared" ref="H31" si="2">SUM(H21:H30)</f>
        <v>25397382493.099998</v>
      </c>
      <c r="I31" s="6"/>
      <c r="J31" s="6"/>
      <c r="K31" s="5"/>
      <c r="AY31" s="46"/>
      <c r="AZ31" s="46"/>
      <c r="BA31" s="46"/>
      <c r="BB31" s="46"/>
      <c r="BC31" s="46"/>
    </row>
    <row r="32" spans="1:76" s="25" customFormat="1" x14ac:dyDescent="0.2">
      <c r="G32" s="5"/>
      <c r="H32" s="5"/>
      <c r="I32" s="5"/>
      <c r="J32" s="5"/>
      <c r="K32" s="5"/>
      <c r="AY32" s="46"/>
      <c r="AZ32" s="46"/>
      <c r="BA32" s="46"/>
      <c r="BB32" s="46"/>
      <c r="BC32" s="46"/>
    </row>
    <row r="33" spans="1:55" s="25" customFormat="1" ht="15.75" x14ac:dyDescent="0.25">
      <c r="A33" s="116" t="s">
        <v>66</v>
      </c>
      <c r="B33" s="116"/>
      <c r="C33" s="116"/>
      <c r="D33" s="116"/>
      <c r="E33" s="116"/>
      <c r="F33" s="116"/>
      <c r="G33" s="116"/>
      <c r="H33" s="116"/>
      <c r="I33" s="5"/>
      <c r="J33" s="5"/>
      <c r="K33" s="5"/>
      <c r="AY33" s="46"/>
      <c r="AZ33" s="46"/>
      <c r="BA33" s="46"/>
      <c r="BB33" s="46"/>
      <c r="BC33" s="46"/>
    </row>
    <row r="34" spans="1:55" s="26" customFormat="1" x14ac:dyDescent="0.2">
      <c r="A34" s="36"/>
      <c r="B34" s="36"/>
      <c r="C34" s="36" t="s">
        <v>46</v>
      </c>
      <c r="D34" s="36" t="s">
        <v>45</v>
      </c>
      <c r="E34" s="36" t="s">
        <v>47</v>
      </c>
      <c r="F34" s="36" t="s">
        <v>48</v>
      </c>
      <c r="G34" s="37" t="s">
        <v>49</v>
      </c>
      <c r="H34" s="37" t="s">
        <v>50</v>
      </c>
      <c r="I34" s="38"/>
      <c r="J34" s="38"/>
      <c r="K34" s="38"/>
    </row>
    <row r="35" spans="1:55" s="25" customFormat="1" ht="15.75" x14ac:dyDescent="0.2">
      <c r="A35" s="1" t="s">
        <v>15</v>
      </c>
      <c r="B35" s="12" t="s">
        <v>26</v>
      </c>
      <c r="C35" s="13">
        <v>0.1576516647582</v>
      </c>
      <c r="D35" s="15">
        <v>8502258970</v>
      </c>
      <c r="E35" s="15">
        <v>2205357931</v>
      </c>
      <c r="F35" s="15">
        <v>492497350</v>
      </c>
      <c r="G35" s="15">
        <v>1025715652</v>
      </c>
      <c r="H35" s="15">
        <f>SUM(D35:G35)</f>
        <v>12225829903</v>
      </c>
      <c r="I35" s="40"/>
      <c r="J35" s="5"/>
      <c r="K35" s="5"/>
      <c r="AY35" s="46"/>
      <c r="AZ35" s="46"/>
      <c r="BA35" s="46"/>
      <c r="BB35" s="46"/>
      <c r="BC35" s="46"/>
    </row>
    <row r="36" spans="1:55" s="25" customFormat="1" ht="15.75" x14ac:dyDescent="0.2">
      <c r="A36" s="1" t="s">
        <v>12</v>
      </c>
      <c r="B36" s="12" t="s">
        <v>27</v>
      </c>
      <c r="C36" s="13">
        <v>0.14625012627280801</v>
      </c>
      <c r="D36" s="31">
        <v>7906559297</v>
      </c>
      <c r="E36" s="31">
        <v>2050842406.5</v>
      </c>
      <c r="F36" s="31">
        <v>457991167</v>
      </c>
      <c r="G36" s="31">
        <v>953850225</v>
      </c>
      <c r="H36" s="31">
        <f t="shared" ref="H36:H44" si="3">SUM(D36:G36)</f>
        <v>11369243095.5</v>
      </c>
      <c r="I36" s="40"/>
      <c r="J36" s="28"/>
      <c r="K36" s="5"/>
      <c r="AY36" s="46"/>
      <c r="AZ36" s="46"/>
      <c r="BA36" s="46"/>
      <c r="BB36" s="46"/>
      <c r="BC36" s="46"/>
    </row>
    <row r="37" spans="1:55" s="25" customFormat="1" ht="15.75" x14ac:dyDescent="0.2">
      <c r="A37" s="1" t="s">
        <v>14</v>
      </c>
      <c r="B37" s="12" t="s">
        <v>28</v>
      </c>
      <c r="C37" s="13">
        <v>0.108039334606018</v>
      </c>
      <c r="D37" s="31">
        <v>5848687699</v>
      </c>
      <c r="E37" s="31">
        <v>1517061506.4000001</v>
      </c>
      <c r="F37" s="31">
        <v>338787986.10000002</v>
      </c>
      <c r="G37" s="31">
        <v>705587837.10000002</v>
      </c>
      <c r="H37" s="31">
        <f t="shared" si="3"/>
        <v>8410125028.6000004</v>
      </c>
      <c r="I37" s="40"/>
      <c r="J37" s="28"/>
      <c r="K37" s="5"/>
      <c r="AY37" s="46"/>
      <c r="AZ37" s="46"/>
      <c r="BA37" s="46"/>
      <c r="BB37" s="46"/>
      <c r="BC37" s="46"/>
    </row>
    <row r="38" spans="1:55" s="25" customFormat="1" ht="15.75" x14ac:dyDescent="0.2">
      <c r="A38" s="1" t="s">
        <v>13</v>
      </c>
      <c r="B38" s="12" t="s">
        <v>29</v>
      </c>
      <c r="C38" s="13">
        <v>0.109008072568007</v>
      </c>
      <c r="D38" s="31">
        <v>5902842215</v>
      </c>
      <c r="E38" s="31">
        <v>1531108372.4000001</v>
      </c>
      <c r="F38" s="31">
        <v>341924912.10000002</v>
      </c>
      <c r="G38" s="31">
        <v>712121058.10000002</v>
      </c>
      <c r="H38" s="31">
        <f t="shared" si="3"/>
        <v>8487996557.6000004</v>
      </c>
      <c r="I38" s="40"/>
      <c r="J38" s="28"/>
      <c r="K38" s="5"/>
      <c r="AY38" s="46"/>
      <c r="AZ38" s="46"/>
      <c r="BA38" s="46"/>
      <c r="BB38" s="46"/>
      <c r="BC38" s="46"/>
    </row>
    <row r="39" spans="1:55" s="25" customFormat="1" ht="15.75" x14ac:dyDescent="0.2">
      <c r="A39" s="1" t="s">
        <v>19</v>
      </c>
      <c r="B39" s="12" t="s">
        <v>30</v>
      </c>
      <c r="C39" s="13">
        <v>0.19884285875103899</v>
      </c>
      <c r="D39" s="15">
        <v>10776748631</v>
      </c>
      <c r="E39" s="15">
        <v>2795326294</v>
      </c>
      <c r="F39" s="15">
        <v>624248234</v>
      </c>
      <c r="G39" s="15">
        <v>0</v>
      </c>
      <c r="H39" s="15">
        <f t="shared" si="3"/>
        <v>14196323159</v>
      </c>
      <c r="I39" s="40"/>
      <c r="J39" s="5"/>
      <c r="K39" s="5"/>
      <c r="AY39" s="46"/>
      <c r="AZ39" s="46"/>
      <c r="BA39" s="46"/>
      <c r="BB39" s="46"/>
      <c r="BC39" s="46"/>
    </row>
    <row r="40" spans="1:55" s="25" customFormat="1" ht="15.75" x14ac:dyDescent="0.2">
      <c r="A40" s="1" t="s">
        <v>20</v>
      </c>
      <c r="B40" s="12" t="s">
        <v>31</v>
      </c>
      <c r="C40" s="13">
        <v>7.4535823032561399E-2</v>
      </c>
      <c r="D40" s="15">
        <v>4061588680</v>
      </c>
      <c r="E40" s="15">
        <v>1053514935</v>
      </c>
      <c r="F40" s="15">
        <v>235269435</v>
      </c>
      <c r="G40" s="15">
        <v>0</v>
      </c>
      <c r="H40" s="15">
        <f t="shared" si="3"/>
        <v>5350373050</v>
      </c>
      <c r="I40" s="40"/>
      <c r="J40" s="5"/>
      <c r="K40" s="5"/>
      <c r="AY40" s="46"/>
      <c r="AZ40" s="46"/>
      <c r="BA40" s="46"/>
      <c r="BB40" s="46"/>
      <c r="BC40" s="46"/>
    </row>
    <row r="41" spans="1:55" s="25" customFormat="1" ht="15.75" x14ac:dyDescent="0.2">
      <c r="A41" s="1" t="s">
        <v>18</v>
      </c>
      <c r="B41" s="12" t="s">
        <v>32</v>
      </c>
      <c r="C41" s="13">
        <v>0.115628826428505</v>
      </c>
      <c r="D41" s="15">
        <v>6227769309</v>
      </c>
      <c r="E41" s="15">
        <v>1615389567</v>
      </c>
      <c r="F41" s="15">
        <v>360746467</v>
      </c>
      <c r="G41" s="15">
        <v>0</v>
      </c>
      <c r="H41" s="15">
        <f t="shared" si="3"/>
        <v>8203905343</v>
      </c>
      <c r="I41" s="40"/>
      <c r="J41" s="5"/>
      <c r="K41" s="5"/>
      <c r="AY41" s="46"/>
      <c r="AZ41" s="46"/>
      <c r="BA41" s="46"/>
      <c r="BB41" s="46"/>
      <c r="BC41" s="46"/>
    </row>
    <row r="42" spans="1:55" s="25" customFormat="1" ht="15.75" x14ac:dyDescent="0.2">
      <c r="A42" s="1" t="s">
        <v>16</v>
      </c>
      <c r="B42" s="12" t="s">
        <v>33</v>
      </c>
      <c r="C42" s="13">
        <v>5.7757112472166097E-2</v>
      </c>
      <c r="D42" s="15">
        <v>3140961913</v>
      </c>
      <c r="E42" s="15">
        <v>814718216</v>
      </c>
      <c r="F42" s="15">
        <v>181941696</v>
      </c>
      <c r="G42" s="15">
        <v>0</v>
      </c>
      <c r="H42" s="15">
        <f t="shared" si="3"/>
        <v>4137621825</v>
      </c>
      <c r="I42" s="40"/>
      <c r="J42" s="5"/>
      <c r="K42" s="5"/>
      <c r="AY42" s="46"/>
      <c r="AZ42" s="46"/>
      <c r="BA42" s="46"/>
      <c r="BB42" s="46"/>
      <c r="BC42" s="46"/>
    </row>
    <row r="43" spans="1:55" s="25" customFormat="1" ht="15.75" x14ac:dyDescent="0.2">
      <c r="A43" s="1" t="s">
        <v>17</v>
      </c>
      <c r="B43" s="12" t="s">
        <v>34</v>
      </c>
      <c r="C43" s="13">
        <v>2.7321904227476299E-2</v>
      </c>
      <c r="D43" s="15">
        <v>1462171925</v>
      </c>
      <c r="E43" s="15">
        <v>379265377</v>
      </c>
      <c r="F43" s="15">
        <v>84696997</v>
      </c>
      <c r="G43" s="15">
        <v>176396959</v>
      </c>
      <c r="H43" s="15">
        <f t="shared" si="3"/>
        <v>2102531258</v>
      </c>
      <c r="I43" s="40"/>
      <c r="J43" s="5"/>
      <c r="K43" s="5"/>
      <c r="AY43" s="46"/>
      <c r="AZ43" s="46"/>
      <c r="BA43" s="46"/>
      <c r="BB43" s="46"/>
      <c r="BC43" s="46"/>
    </row>
    <row r="44" spans="1:55" s="25" customFormat="1" ht="15.75" x14ac:dyDescent="0.2">
      <c r="A44" s="1" t="s">
        <v>11</v>
      </c>
      <c r="B44" s="12" t="s">
        <v>35</v>
      </c>
      <c r="C44" s="13">
        <v>4.9642768832185999E-3</v>
      </c>
      <c r="D44" s="15">
        <v>270772579</v>
      </c>
      <c r="E44" s="15">
        <v>70234329</v>
      </c>
      <c r="F44" s="15">
        <v>15684629</v>
      </c>
      <c r="G44" s="15">
        <v>0</v>
      </c>
      <c r="H44" s="15">
        <f t="shared" si="3"/>
        <v>356691537</v>
      </c>
      <c r="I44" s="40"/>
      <c r="J44" s="5"/>
      <c r="K44" s="5"/>
      <c r="AY44" s="46"/>
      <c r="AZ44" s="46"/>
      <c r="BA44" s="46"/>
      <c r="BB44" s="46"/>
      <c r="BC44" s="46"/>
    </row>
    <row r="45" spans="1:55" s="25" customFormat="1" ht="15.75" x14ac:dyDescent="0.2">
      <c r="A45" s="113" t="s">
        <v>44</v>
      </c>
      <c r="B45" s="114"/>
      <c r="C45" s="18">
        <f>SUM(C35:C44)</f>
        <v>0.99999999999999956</v>
      </c>
      <c r="D45" s="33">
        <f>SUM(D35:D44)</f>
        <v>54100361218</v>
      </c>
      <c r="E45" s="33">
        <f>SUM(E35:E44)</f>
        <v>14032818934.299999</v>
      </c>
      <c r="F45" s="33">
        <f>SUM(F35:F44)</f>
        <v>3133788873.1999998</v>
      </c>
      <c r="G45" s="33">
        <f t="shared" ref="G45" si="4">SUM(G35:G44)</f>
        <v>3573671731.1999998</v>
      </c>
      <c r="H45" s="33">
        <f t="shared" ref="H45" si="5">SUM(H35:H44)</f>
        <v>74840640756.699997</v>
      </c>
      <c r="I45" s="6"/>
      <c r="J45" s="6"/>
      <c r="K45" s="5"/>
      <c r="AY45" s="46"/>
      <c r="AZ45" s="46"/>
      <c r="BA45" s="46"/>
      <c r="BB45" s="46"/>
      <c r="BC45" s="46"/>
    </row>
    <row r="46" spans="1:55" s="25" customFormat="1" x14ac:dyDescent="0.2">
      <c r="D46" s="8"/>
      <c r="G46" s="5"/>
      <c r="H46" s="5"/>
      <c r="I46" s="5"/>
      <c r="J46" s="5"/>
      <c r="K46" s="5"/>
      <c r="AY46" s="46"/>
      <c r="AZ46" s="46"/>
      <c r="BA46" s="46"/>
      <c r="BB46" s="46"/>
      <c r="BC46" s="46"/>
    </row>
    <row r="47" spans="1:55" s="25" customFormat="1" x14ac:dyDescent="0.2">
      <c r="D47" s="8"/>
      <c r="G47" s="5"/>
      <c r="H47" s="5"/>
      <c r="I47" s="5"/>
      <c r="J47" s="5"/>
      <c r="K47" s="5"/>
      <c r="AY47" s="46"/>
      <c r="AZ47" s="46"/>
      <c r="BA47" s="46"/>
      <c r="BB47" s="46"/>
      <c r="BC47" s="46"/>
    </row>
    <row r="48" spans="1:55" s="25" customFormat="1" ht="15.75" x14ac:dyDescent="0.25">
      <c r="A48" s="112" t="s">
        <v>53</v>
      </c>
      <c r="B48" s="112"/>
      <c r="C48" s="112"/>
      <c r="D48" s="112"/>
      <c r="E48" s="112"/>
      <c r="F48" s="112"/>
      <c r="G48" s="112"/>
      <c r="H48" s="112"/>
      <c r="I48" s="5"/>
      <c r="J48" s="5"/>
      <c r="K48" s="5"/>
      <c r="AY48" s="46"/>
      <c r="AZ48" s="46"/>
      <c r="BA48" s="46"/>
      <c r="BB48" s="46"/>
      <c r="BC48" s="46"/>
    </row>
    <row r="49" spans="1:75" s="26" customFormat="1" x14ac:dyDescent="0.2">
      <c r="A49" s="36"/>
      <c r="B49" s="36"/>
      <c r="C49" s="36" t="s">
        <v>46</v>
      </c>
      <c r="D49" s="36" t="s">
        <v>45</v>
      </c>
      <c r="E49" s="36" t="s">
        <v>47</v>
      </c>
      <c r="F49" s="36" t="s">
        <v>48</v>
      </c>
      <c r="G49" s="37" t="s">
        <v>49</v>
      </c>
      <c r="H49" s="37" t="s">
        <v>50</v>
      </c>
      <c r="I49" s="38"/>
      <c r="J49" s="38"/>
      <c r="K49" s="38"/>
    </row>
    <row r="50" spans="1:75" s="25" customFormat="1" ht="15.75" x14ac:dyDescent="0.2">
      <c r="A50" s="1" t="s">
        <v>15</v>
      </c>
      <c r="B50" s="12" t="s">
        <v>26</v>
      </c>
      <c r="C50" s="30">
        <f>+H50/$H$60</f>
        <v>0.17401382949512112</v>
      </c>
      <c r="D50" s="15">
        <f>+D35-F64-K64</f>
        <v>818464366.10397577</v>
      </c>
      <c r="E50" s="15">
        <v>2205357931</v>
      </c>
      <c r="F50" s="15">
        <v>492497350</v>
      </c>
      <c r="G50" s="15">
        <v>1025715652</v>
      </c>
      <c r="H50" s="15">
        <f>SUM(D50:G50)</f>
        <v>4542035299.1039753</v>
      </c>
      <c r="I50" s="40"/>
      <c r="J50" s="5"/>
      <c r="K50" s="5"/>
      <c r="AY50" s="46"/>
      <c r="AZ50" s="46"/>
      <c r="BA50" s="46"/>
      <c r="BB50" s="46"/>
      <c r="BC50" s="46"/>
    </row>
    <row r="51" spans="1:75" s="25" customFormat="1" ht="15.75" x14ac:dyDescent="0.2">
      <c r="A51" s="1" t="s">
        <v>12</v>
      </c>
      <c r="B51" s="12" t="s">
        <v>27</v>
      </c>
      <c r="C51" s="30">
        <f t="shared" ref="C51:C59" si="6">+H51/$H$60</f>
        <v>0.16248630775238998</v>
      </c>
      <c r="D51" s="15">
        <f t="shared" ref="D51:D59" si="7">+D36-F65-K65</f>
        <v>778465008.88900852</v>
      </c>
      <c r="E51" s="31">
        <v>2050842406.5</v>
      </c>
      <c r="F51" s="31">
        <v>457991167</v>
      </c>
      <c r="G51" s="31">
        <v>953850225</v>
      </c>
      <c r="H51" s="31">
        <f t="shared" ref="H51:H59" si="8">SUM(D51:G51)</f>
        <v>4241148807.3890085</v>
      </c>
      <c r="I51" s="40"/>
      <c r="J51" s="28"/>
      <c r="K51" s="5"/>
      <c r="AY51" s="46"/>
      <c r="AZ51" s="46"/>
      <c r="BA51" s="46"/>
      <c r="BB51" s="46"/>
      <c r="BC51" s="46"/>
    </row>
    <row r="52" spans="1:75" s="25" customFormat="1" ht="15.75" x14ac:dyDescent="0.2">
      <c r="A52" s="1" t="s">
        <v>14</v>
      </c>
      <c r="B52" s="12" t="s">
        <v>28</v>
      </c>
      <c r="C52" s="30">
        <f t="shared" si="6"/>
        <v>0.12046739612870645</v>
      </c>
      <c r="D52" s="15">
        <f t="shared" si="7"/>
        <v>582951637.61750174</v>
      </c>
      <c r="E52" s="31">
        <v>1517061506.4000001</v>
      </c>
      <c r="F52" s="31">
        <v>338787986.10000002</v>
      </c>
      <c r="G52" s="31">
        <v>705587837.10000002</v>
      </c>
      <c r="H52" s="31">
        <f t="shared" si="8"/>
        <v>3144388967.2175016</v>
      </c>
      <c r="I52" s="40"/>
      <c r="J52" s="28"/>
      <c r="K52" s="5"/>
      <c r="AY52" s="46"/>
      <c r="AZ52" s="46"/>
      <c r="BA52" s="46"/>
      <c r="BB52" s="46"/>
      <c r="BC52" s="46"/>
    </row>
    <row r="53" spans="1:75" s="25" customFormat="1" ht="15.75" x14ac:dyDescent="0.2">
      <c r="A53" s="1" t="s">
        <v>13</v>
      </c>
      <c r="B53" s="12" t="s">
        <v>29</v>
      </c>
      <c r="C53" s="30">
        <f t="shared" si="6"/>
        <v>0.12164189021350737</v>
      </c>
      <c r="D53" s="15">
        <f t="shared" si="7"/>
        <v>589890771.93195486</v>
      </c>
      <c r="E53" s="31">
        <v>1531108372.4000001</v>
      </c>
      <c r="F53" s="31">
        <v>341924912.10000002</v>
      </c>
      <c r="G53" s="31">
        <v>712121058.10000002</v>
      </c>
      <c r="H53" s="31">
        <f t="shared" si="8"/>
        <v>3175045114.5319548</v>
      </c>
      <c r="I53" s="40"/>
      <c r="J53" s="28"/>
      <c r="K53" s="5"/>
      <c r="AY53" s="46"/>
      <c r="AZ53" s="46"/>
      <c r="BA53" s="46"/>
      <c r="BB53" s="46"/>
      <c r="BC53" s="46"/>
    </row>
    <row r="54" spans="1:75" s="25" customFormat="1" ht="15.75" x14ac:dyDescent="0.2">
      <c r="A54" s="1" t="s">
        <v>19</v>
      </c>
      <c r="B54" s="12" t="s">
        <v>30</v>
      </c>
      <c r="C54" s="30">
        <f t="shared" si="6"/>
        <v>0.1725914253429556</v>
      </c>
      <c r="D54" s="15">
        <f t="shared" si="7"/>
        <v>1085333780.1776075</v>
      </c>
      <c r="E54" s="15">
        <v>2795326294</v>
      </c>
      <c r="F54" s="15">
        <v>624248234</v>
      </c>
      <c r="G54" s="15">
        <v>0</v>
      </c>
      <c r="H54" s="15">
        <f t="shared" si="8"/>
        <v>4504908308.1776075</v>
      </c>
      <c r="I54" s="40"/>
      <c r="J54" s="5"/>
      <c r="K54" s="5"/>
      <c r="AY54" s="46"/>
      <c r="AZ54" s="46"/>
      <c r="BA54" s="46"/>
      <c r="BB54" s="46"/>
      <c r="BC54" s="46"/>
    </row>
    <row r="55" spans="1:75" s="25" customFormat="1" ht="15.75" x14ac:dyDescent="0.2">
      <c r="A55" s="1" t="s">
        <v>20</v>
      </c>
      <c r="B55" s="12" t="s">
        <v>31</v>
      </c>
      <c r="C55" s="30">
        <f t="shared" si="6"/>
        <v>6.5803181758655432E-2</v>
      </c>
      <c r="D55" s="15">
        <f t="shared" si="7"/>
        <v>428782418.84851265</v>
      </c>
      <c r="E55" s="15">
        <v>1053514935</v>
      </c>
      <c r="F55" s="15">
        <v>235269435</v>
      </c>
      <c r="G55" s="15">
        <v>0</v>
      </c>
      <c r="H55" s="15">
        <f t="shared" si="8"/>
        <v>1717566788.8485126</v>
      </c>
      <c r="I55" s="40"/>
      <c r="J55" s="5"/>
      <c r="K55" s="5"/>
      <c r="AY55" s="46"/>
      <c r="AZ55" s="46"/>
      <c r="BA55" s="46"/>
      <c r="BB55" s="46"/>
      <c r="BC55" s="46"/>
    </row>
    <row r="56" spans="1:75" s="25" customFormat="1" ht="15.75" x14ac:dyDescent="0.2">
      <c r="A56" s="1" t="s">
        <v>18</v>
      </c>
      <c r="B56" s="12" t="s">
        <v>32</v>
      </c>
      <c r="C56" s="30">
        <f t="shared" si="6"/>
        <v>9.8394997076376764E-2</v>
      </c>
      <c r="D56" s="15">
        <f t="shared" si="7"/>
        <v>592128518.72433376</v>
      </c>
      <c r="E56" s="15">
        <v>1615389567</v>
      </c>
      <c r="F56" s="15">
        <v>360746467</v>
      </c>
      <c r="G56" s="15">
        <v>0</v>
      </c>
      <c r="H56" s="15">
        <f t="shared" si="8"/>
        <v>2568264552.7243338</v>
      </c>
      <c r="I56" s="40"/>
      <c r="J56" s="5"/>
      <c r="K56" s="5"/>
      <c r="AY56" s="47"/>
      <c r="AZ56" s="46"/>
      <c r="BA56" s="46"/>
      <c r="BB56" s="46"/>
      <c r="BC56" s="46"/>
      <c r="BD56" s="47"/>
    </row>
    <row r="57" spans="1:75" s="25" customFormat="1" ht="15.75" x14ac:dyDescent="0.2">
      <c r="A57" s="1" t="s">
        <v>16</v>
      </c>
      <c r="B57" s="12" t="s">
        <v>33</v>
      </c>
      <c r="C57" s="30">
        <f t="shared" si="6"/>
        <v>5.0671047000118798E-2</v>
      </c>
      <c r="D57" s="15">
        <f t="shared" si="7"/>
        <v>325934302.40724611</v>
      </c>
      <c r="E57" s="15">
        <v>814718216</v>
      </c>
      <c r="F57" s="15">
        <v>181941696</v>
      </c>
      <c r="G57" s="15">
        <v>0</v>
      </c>
      <c r="H57" s="15">
        <f t="shared" si="8"/>
        <v>1322594214.4072461</v>
      </c>
      <c r="I57" s="40"/>
      <c r="J57" s="5"/>
      <c r="K57" s="5"/>
      <c r="AY57" s="46"/>
      <c r="AZ57" s="46"/>
      <c r="BA57" s="46"/>
      <c r="BB57" s="46"/>
      <c r="BC57" s="46"/>
    </row>
    <row r="58" spans="1:75" s="25" customFormat="1" ht="15.75" x14ac:dyDescent="0.2">
      <c r="A58" s="1" t="s">
        <v>17</v>
      </c>
      <c r="B58" s="12" t="s">
        <v>34</v>
      </c>
      <c r="C58" s="30">
        <f t="shared" si="6"/>
        <v>2.9534124577959155E-2</v>
      </c>
      <c r="D58" s="15">
        <f t="shared" si="7"/>
        <v>130527881.82901359</v>
      </c>
      <c r="E58" s="15">
        <v>379265377</v>
      </c>
      <c r="F58" s="15">
        <v>84696997</v>
      </c>
      <c r="G58" s="15">
        <v>176396959</v>
      </c>
      <c r="H58" s="15">
        <f t="shared" si="8"/>
        <v>770887214.82901359</v>
      </c>
      <c r="I58" s="40"/>
      <c r="J58" s="5"/>
      <c r="K58" s="5"/>
      <c r="AY58" s="46"/>
      <c r="AZ58" s="46"/>
      <c r="BA58" s="46"/>
      <c r="BB58" s="46"/>
      <c r="BC58" s="46"/>
    </row>
    <row r="59" spans="1:75" s="25" customFormat="1" ht="15.75" x14ac:dyDescent="0.2">
      <c r="A59" s="1" t="s">
        <v>11</v>
      </c>
      <c r="B59" s="12" t="s">
        <v>35</v>
      </c>
      <c r="C59" s="30">
        <f t="shared" si="6"/>
        <v>4.3958006542092511E-3</v>
      </c>
      <c r="D59" s="15">
        <f t="shared" si="7"/>
        <v>28818369.470875278</v>
      </c>
      <c r="E59" s="15">
        <v>70234329</v>
      </c>
      <c r="F59" s="15">
        <v>15684629</v>
      </c>
      <c r="G59" s="15">
        <v>0</v>
      </c>
      <c r="H59" s="15">
        <f t="shared" si="8"/>
        <v>114737327.47087528</v>
      </c>
      <c r="I59" s="40"/>
      <c r="J59" s="5"/>
      <c r="K59" s="5"/>
      <c r="AY59" s="46"/>
      <c r="AZ59" s="46"/>
      <c r="BA59" s="46"/>
      <c r="BB59" s="46"/>
      <c r="BC59" s="46"/>
    </row>
    <row r="60" spans="1:75" s="25" customFormat="1" x14ac:dyDescent="0.2">
      <c r="A60" s="113" t="s">
        <v>44</v>
      </c>
      <c r="B60" s="114"/>
      <c r="C60" s="32">
        <f>SUM(C50:C59)</f>
        <v>0.99999999999999989</v>
      </c>
      <c r="D60" s="33">
        <f>SUM(D50:D59)</f>
        <v>5361297056.0000296</v>
      </c>
      <c r="E60" s="33">
        <f>SUM(E50:E59)</f>
        <v>14032818934.299999</v>
      </c>
      <c r="F60" s="33">
        <f>SUM(F50:F59)</f>
        <v>3133788873.1999998</v>
      </c>
      <c r="G60" s="33">
        <f t="shared" ref="G60" si="9">SUM(G50:G59)</f>
        <v>3573671731.1999998</v>
      </c>
      <c r="H60" s="33">
        <f t="shared" ref="H60" si="10">SUM(H50:H59)</f>
        <v>26101576594.700031</v>
      </c>
      <c r="I60" s="6"/>
      <c r="J60" s="6"/>
      <c r="K60" s="5"/>
      <c r="AY60" s="46"/>
      <c r="AZ60" s="46"/>
      <c r="BA60" s="46"/>
      <c r="BB60" s="46"/>
      <c r="BC60" s="46"/>
    </row>
    <row r="61" spans="1:75" s="25" customFormat="1" x14ac:dyDescent="0.2">
      <c r="D61" s="8"/>
      <c r="G61" s="5"/>
      <c r="H61" s="5"/>
      <c r="I61" s="5"/>
      <c r="J61" s="5"/>
      <c r="K61" s="5"/>
      <c r="AY61" s="46"/>
      <c r="AZ61" s="46"/>
      <c r="BA61" s="46"/>
      <c r="BB61" s="46"/>
      <c r="BC61" s="46"/>
    </row>
    <row r="62" spans="1:75" s="25" customFormat="1" x14ac:dyDescent="0.2">
      <c r="A62" s="25">
        <v>1</v>
      </c>
      <c r="B62" s="25">
        <v>2</v>
      </c>
      <c r="C62" s="25">
        <v>3</v>
      </c>
      <c r="D62" s="25">
        <v>4</v>
      </c>
      <c r="E62" s="25">
        <v>5</v>
      </c>
      <c r="F62" s="25">
        <v>6</v>
      </c>
      <c r="G62" s="25">
        <v>7</v>
      </c>
      <c r="H62" s="25">
        <v>8</v>
      </c>
      <c r="I62" s="25">
        <v>9</v>
      </c>
      <c r="J62" s="25">
        <v>10</v>
      </c>
      <c r="K62" s="25">
        <v>11</v>
      </c>
      <c r="L62" s="25">
        <v>12</v>
      </c>
      <c r="M62" s="25">
        <v>13</v>
      </c>
      <c r="N62" s="25">
        <v>14</v>
      </c>
      <c r="O62" s="25">
        <v>15</v>
      </c>
      <c r="P62" s="25">
        <v>16</v>
      </c>
      <c r="Q62" s="25">
        <v>17</v>
      </c>
      <c r="R62" s="25">
        <v>18</v>
      </c>
      <c r="S62" s="25">
        <v>19</v>
      </c>
      <c r="T62" s="25">
        <v>20</v>
      </c>
      <c r="U62" s="25">
        <v>21</v>
      </c>
      <c r="V62" s="25">
        <v>22</v>
      </c>
      <c r="W62" s="25">
        <v>23</v>
      </c>
      <c r="X62" s="25">
        <v>24</v>
      </c>
      <c r="Y62" s="25">
        <v>25</v>
      </c>
      <c r="Z62" s="25">
        <v>26</v>
      </c>
      <c r="AA62" s="25">
        <v>27</v>
      </c>
      <c r="AB62" s="25">
        <v>28</v>
      </c>
      <c r="AC62" s="25">
        <v>29</v>
      </c>
      <c r="AD62" s="25">
        <v>30</v>
      </c>
      <c r="AE62" s="25">
        <v>31</v>
      </c>
      <c r="AF62" s="25">
        <v>32</v>
      </c>
      <c r="AG62" s="25">
        <v>33</v>
      </c>
      <c r="AH62" s="25">
        <v>34</v>
      </c>
      <c r="AI62" s="25">
        <v>35</v>
      </c>
      <c r="AJ62" s="25">
        <v>36</v>
      </c>
      <c r="AK62" s="25">
        <v>37</v>
      </c>
      <c r="AL62" s="25">
        <v>38</v>
      </c>
      <c r="AM62" s="25">
        <v>39</v>
      </c>
      <c r="AN62" s="25">
        <v>40</v>
      </c>
      <c r="AO62" s="25">
        <v>41</v>
      </c>
      <c r="AP62" s="25">
        <v>42</v>
      </c>
      <c r="AQ62" s="25">
        <v>43</v>
      </c>
      <c r="AR62" s="25">
        <v>44</v>
      </c>
      <c r="AS62" s="25">
        <v>45</v>
      </c>
      <c r="AT62" s="25">
        <v>46</v>
      </c>
      <c r="AU62" s="25">
        <v>47</v>
      </c>
      <c r="AV62" s="25">
        <v>48</v>
      </c>
      <c r="AW62" s="25">
        <v>49</v>
      </c>
      <c r="AX62" s="25">
        <v>50</v>
      </c>
      <c r="AY62" s="46">
        <v>51</v>
      </c>
      <c r="AZ62" s="46">
        <v>52</v>
      </c>
      <c r="BA62" s="46">
        <v>53</v>
      </c>
      <c r="BB62" s="46">
        <v>54</v>
      </c>
      <c r="BC62" s="46">
        <v>55</v>
      </c>
      <c r="BD62" s="46">
        <v>56</v>
      </c>
      <c r="BE62" s="46">
        <v>57</v>
      </c>
      <c r="BF62" s="46">
        <v>58</v>
      </c>
      <c r="BG62" s="46">
        <v>59</v>
      </c>
      <c r="BH62" s="46">
        <v>60</v>
      </c>
      <c r="BI62" s="46">
        <v>61</v>
      </c>
      <c r="BJ62" s="46">
        <v>62</v>
      </c>
      <c r="BK62" s="46">
        <v>63</v>
      </c>
      <c r="BL62" s="46">
        <v>64</v>
      </c>
      <c r="BM62" s="46">
        <v>65</v>
      </c>
      <c r="BN62" s="46">
        <v>66</v>
      </c>
      <c r="BO62" s="46">
        <v>67</v>
      </c>
      <c r="BP62" s="46">
        <v>68</v>
      </c>
      <c r="BQ62" s="46">
        <v>69</v>
      </c>
      <c r="BR62" s="46">
        <v>70</v>
      </c>
      <c r="BS62" s="46">
        <v>71</v>
      </c>
      <c r="BT62" s="46">
        <v>72</v>
      </c>
      <c r="BU62" s="46">
        <v>73</v>
      </c>
      <c r="BV62" s="46">
        <v>74</v>
      </c>
      <c r="BW62" s="46">
        <v>75</v>
      </c>
    </row>
    <row r="63" spans="1:75" s="3" customFormat="1" ht="31.5" x14ac:dyDescent="0.2">
      <c r="A63" s="39" t="s">
        <v>36</v>
      </c>
      <c r="B63" s="10" t="s">
        <v>25</v>
      </c>
      <c r="C63" s="10" t="s">
        <v>37</v>
      </c>
      <c r="D63" s="10" t="s">
        <v>38</v>
      </c>
      <c r="E63" s="10" t="s">
        <v>42</v>
      </c>
      <c r="F63" s="42" t="s">
        <v>58</v>
      </c>
      <c r="G63" s="11" t="s">
        <v>39</v>
      </c>
      <c r="H63" s="11" t="s">
        <v>40</v>
      </c>
      <c r="I63" s="11" t="s">
        <v>67</v>
      </c>
      <c r="J63" s="11" t="s">
        <v>41</v>
      </c>
      <c r="K63" s="43" t="s">
        <v>59</v>
      </c>
      <c r="L63" s="11" t="s">
        <v>39</v>
      </c>
      <c r="M63" s="11" t="s">
        <v>40</v>
      </c>
      <c r="N63" s="11" t="s">
        <v>67</v>
      </c>
      <c r="O63" s="11" t="s">
        <v>41</v>
      </c>
      <c r="P63" s="41" t="s">
        <v>60</v>
      </c>
      <c r="Q63" s="11" t="s">
        <v>39</v>
      </c>
      <c r="R63" s="11" t="s">
        <v>40</v>
      </c>
      <c r="S63" s="11" t="s">
        <v>67</v>
      </c>
      <c r="T63" s="11" t="s">
        <v>41</v>
      </c>
      <c r="U63" s="41" t="s">
        <v>61</v>
      </c>
      <c r="V63" s="11" t="s">
        <v>39</v>
      </c>
      <c r="W63" s="11" t="s">
        <v>40</v>
      </c>
      <c r="X63" s="11" t="s">
        <v>67</v>
      </c>
      <c r="Y63" s="11" t="s">
        <v>41</v>
      </c>
      <c r="Z63" s="41" t="s">
        <v>62</v>
      </c>
      <c r="AA63" s="11" t="s">
        <v>39</v>
      </c>
      <c r="AB63" s="11" t="s">
        <v>40</v>
      </c>
      <c r="AC63" s="11" t="s">
        <v>67</v>
      </c>
      <c r="AD63" s="11" t="s">
        <v>41</v>
      </c>
      <c r="AE63" s="41" t="s">
        <v>63</v>
      </c>
      <c r="AF63" s="11" t="s">
        <v>39</v>
      </c>
      <c r="AG63" s="11" t="s">
        <v>40</v>
      </c>
      <c r="AH63" s="11" t="s">
        <v>67</v>
      </c>
      <c r="AI63" s="11" t="s">
        <v>41</v>
      </c>
      <c r="AJ63" s="41" t="s">
        <v>64</v>
      </c>
      <c r="AK63" s="11" t="s">
        <v>39</v>
      </c>
      <c r="AL63" s="11" t="s">
        <v>40</v>
      </c>
      <c r="AM63" s="11" t="s">
        <v>67</v>
      </c>
      <c r="AN63" s="11" t="s">
        <v>41</v>
      </c>
      <c r="AO63" s="41" t="s">
        <v>57</v>
      </c>
      <c r="AP63" s="11" t="s">
        <v>39</v>
      </c>
      <c r="AQ63" s="11" t="s">
        <v>40</v>
      </c>
      <c r="AR63" s="11" t="s">
        <v>67</v>
      </c>
      <c r="AS63" s="11" t="s">
        <v>41</v>
      </c>
      <c r="AT63" s="41" t="s">
        <v>55</v>
      </c>
      <c r="AU63" s="11" t="s">
        <v>39</v>
      </c>
      <c r="AV63" s="11" t="s">
        <v>40</v>
      </c>
      <c r="AW63" s="11" t="s">
        <v>67</v>
      </c>
      <c r="AX63" s="11" t="s">
        <v>41</v>
      </c>
      <c r="AY63" s="41" t="s">
        <v>56</v>
      </c>
      <c r="AZ63" s="11" t="s">
        <v>39</v>
      </c>
      <c r="BA63" s="11" t="s">
        <v>40</v>
      </c>
      <c r="BB63" s="11" t="s">
        <v>67</v>
      </c>
      <c r="BC63" s="11" t="s">
        <v>41</v>
      </c>
      <c r="BD63" s="41" t="s">
        <v>68</v>
      </c>
      <c r="BE63" s="11" t="s">
        <v>39</v>
      </c>
      <c r="BF63" s="11" t="s">
        <v>40</v>
      </c>
      <c r="BG63" s="11" t="s">
        <v>67</v>
      </c>
      <c r="BH63" s="11" t="s">
        <v>41</v>
      </c>
      <c r="BI63" s="41" t="s">
        <v>69</v>
      </c>
      <c r="BJ63" s="11" t="s">
        <v>39</v>
      </c>
      <c r="BK63" s="11" t="s">
        <v>40</v>
      </c>
      <c r="BL63" s="11" t="s">
        <v>67</v>
      </c>
      <c r="BM63" s="11" t="s">
        <v>41</v>
      </c>
      <c r="BN63" s="41" t="s">
        <v>70</v>
      </c>
      <c r="BO63" s="11" t="s">
        <v>39</v>
      </c>
      <c r="BP63" s="11" t="s">
        <v>40</v>
      </c>
      <c r="BQ63" s="11" t="s">
        <v>67</v>
      </c>
      <c r="BR63" s="11" t="s">
        <v>41</v>
      </c>
      <c r="BS63" s="41" t="s">
        <v>71</v>
      </c>
      <c r="BT63" s="11" t="s">
        <v>39</v>
      </c>
      <c r="BU63" s="11" t="s">
        <v>40</v>
      </c>
      <c r="BV63" s="11" t="s">
        <v>67</v>
      </c>
      <c r="BW63" s="11" t="s">
        <v>41</v>
      </c>
    </row>
    <row r="64" spans="1:75" ht="15.75" x14ac:dyDescent="0.2">
      <c r="A64" s="1" t="s">
        <v>15</v>
      </c>
      <c r="B64" s="12" t="s">
        <v>26</v>
      </c>
      <c r="C64" s="14">
        <v>4455467994</v>
      </c>
      <c r="D64" s="14">
        <v>13215636453</v>
      </c>
      <c r="E64" s="27">
        <f t="shared" ref="E64:E73" si="11">+C64+D64</f>
        <v>17671104447</v>
      </c>
      <c r="F64" s="20">
        <f>+$C$2*C35</f>
        <v>3647111277.2220888</v>
      </c>
      <c r="G64" s="15">
        <f>+$D$31*C35</f>
        <v>734200033.6799612</v>
      </c>
      <c r="H64" s="15">
        <f>+F64-G64</f>
        <v>2912911243.5421276</v>
      </c>
      <c r="I64" s="15">
        <f>+C64-G64</f>
        <v>3721267960.3200388</v>
      </c>
      <c r="J64" s="15">
        <f>+D64-H64</f>
        <v>10302725209.457872</v>
      </c>
      <c r="K64" s="20">
        <f>+$C$3*C35</f>
        <v>4036683326.6739354</v>
      </c>
      <c r="L64" s="15">
        <v>0</v>
      </c>
      <c r="M64" s="22">
        <f>+K64-L64</f>
        <v>4036683326.6739354</v>
      </c>
      <c r="N64" s="22">
        <f>+I64-L64</f>
        <v>3721267960.3200388</v>
      </c>
      <c r="O64" s="22">
        <f>+J64-M64</f>
        <v>6266041882.7839375</v>
      </c>
      <c r="P64" s="20">
        <f>+$C$4*C50</f>
        <v>348027658.99024224</v>
      </c>
      <c r="Q64" s="15">
        <f>+IF(N64&lt;P64,N64,P64)</f>
        <v>348027658.99024224</v>
      </c>
      <c r="R64" s="22">
        <f>+P64-Q64</f>
        <v>0</v>
      </c>
      <c r="S64" s="22">
        <f>+N64-Q64</f>
        <v>3373240301.3297968</v>
      </c>
      <c r="T64" s="22">
        <f>+O64-R64</f>
        <v>6266041882.7839375</v>
      </c>
      <c r="U64" s="20">
        <f t="shared" ref="U64:U73" si="12">+$C$5*C50</f>
        <v>348027658.99024224</v>
      </c>
      <c r="V64" s="15">
        <f>+IF(S64&lt;U64,S64,U64)</f>
        <v>348027658.99024224</v>
      </c>
      <c r="W64" s="22">
        <f>+U64-V64</f>
        <v>0</v>
      </c>
      <c r="X64" s="22">
        <f>+S64-V64</f>
        <v>3025212642.3395548</v>
      </c>
      <c r="Y64" s="22">
        <f>+T64-W64</f>
        <v>6266041882.7839375</v>
      </c>
      <c r="Z64" s="20">
        <f t="shared" ref="Z64:Z73" si="13">+$C$6*C50</f>
        <v>130510372.12134084</v>
      </c>
      <c r="AA64" s="15">
        <f>+IF(X64&lt;Z64,X64,Z64)</f>
        <v>130510372.12134084</v>
      </c>
      <c r="AB64" s="22">
        <f>+Z64-AA64</f>
        <v>0</v>
      </c>
      <c r="AC64" s="22">
        <f>+X64-AA64</f>
        <v>2894702270.218214</v>
      </c>
      <c r="AD64" s="22">
        <f>+Y64-AB64</f>
        <v>6266041882.7839375</v>
      </c>
      <c r="AE64" s="20">
        <f t="shared" ref="AE64:AE73" si="14">+$C$7*C50</f>
        <v>130510372.12134084</v>
      </c>
      <c r="AF64" s="15">
        <f>+IF(AC64&lt;AE64,AC64,AE64)</f>
        <v>130510372.12134084</v>
      </c>
      <c r="AG64" s="22">
        <f>+AE64-AF64</f>
        <v>0</v>
      </c>
      <c r="AH64" s="22">
        <f>+AC64-AF64</f>
        <v>2764191898.0968733</v>
      </c>
      <c r="AI64" s="22">
        <f>+AD64-AG64</f>
        <v>6266041882.7839375</v>
      </c>
      <c r="AJ64" s="20">
        <f t="shared" ref="AJ64:AJ73" si="15">+$C$8*C50</f>
        <v>870069147.47560561</v>
      </c>
      <c r="AK64" s="15">
        <f>+IF(AH64&lt;AJ64,AH64,AJ64)</f>
        <v>870069147.47560561</v>
      </c>
      <c r="AL64" s="22">
        <f>+AJ64-AK64</f>
        <v>0</v>
      </c>
      <c r="AM64" s="22">
        <f>+AH64-AK64</f>
        <v>1894122750.6212678</v>
      </c>
      <c r="AN64" s="22">
        <f>+AI64-AL64</f>
        <v>6266041882.7839375</v>
      </c>
      <c r="AO64" s="20">
        <f t="shared" ref="AO64:AO73" si="16">+$C$9*C50</f>
        <v>870069147.47560561</v>
      </c>
      <c r="AP64" s="15">
        <f>+IF(AM64&lt;AO64,AM64,AO64)</f>
        <v>870069147.47560561</v>
      </c>
      <c r="AQ64" s="22">
        <f>+AO64-AP64</f>
        <v>0</v>
      </c>
      <c r="AR64" s="22">
        <f>+AM64-AP64</f>
        <v>1024053603.1456622</v>
      </c>
      <c r="AS64" s="22">
        <f>+AN64-AQ64</f>
        <v>6266041882.7839375</v>
      </c>
      <c r="AT64" s="20">
        <f t="shared" ref="AT64:AT73" si="17">+$C$10*C50</f>
        <v>1218096806.4658477</v>
      </c>
      <c r="AU64" s="15">
        <f>+IF(AR64&lt;AT64,AR64,AT64)</f>
        <v>1024053603.1456622</v>
      </c>
      <c r="AV64" s="22">
        <f>+AT64-AU64</f>
        <v>194043203.32018554</v>
      </c>
      <c r="AW64" s="22">
        <f>+AR64-AU64</f>
        <v>0</v>
      </c>
      <c r="AX64" s="22">
        <f>+AS64-AV64</f>
        <v>6071998679.4637518</v>
      </c>
      <c r="AY64" s="20">
        <f>(+$C$11)*C50</f>
        <v>626724135.51594889</v>
      </c>
      <c r="AZ64" s="15">
        <f>+IF(AW64&lt;AY64,AW64,AY64)</f>
        <v>0</v>
      </c>
      <c r="BA64" s="22">
        <f>+AY64-AZ64</f>
        <v>626724135.51594889</v>
      </c>
      <c r="BB64" s="22">
        <f>+AW64-AZ64</f>
        <v>0</v>
      </c>
      <c r="BC64" s="22">
        <f>+AX64-BA64</f>
        <v>5445274543.9478025</v>
      </c>
      <c r="BD64" s="20">
        <f>($C$12)*C35</f>
        <v>535767107.35148054</v>
      </c>
      <c r="BE64" s="15">
        <f>+IF(BB64&lt;BD64,BB64,BD64)</f>
        <v>0</v>
      </c>
      <c r="BF64" s="22">
        <f>+BD64-BE64</f>
        <v>535767107.35148054</v>
      </c>
      <c r="BG64" s="22">
        <f>+BB64-BE64</f>
        <v>0</v>
      </c>
      <c r="BH64" s="22">
        <f>+BC64-BF64</f>
        <v>4909507436.5963221</v>
      </c>
      <c r="BI64" s="20">
        <f>+$C$13*C35</f>
        <v>911541925.63191235</v>
      </c>
      <c r="BJ64" s="15">
        <f>+IF(BG64&lt;BI64,BG64,BI64)</f>
        <v>0</v>
      </c>
      <c r="BK64" s="22">
        <f>+BI64-BJ64</f>
        <v>911541925.63191235</v>
      </c>
      <c r="BL64" s="22">
        <f>+BG64-BJ64</f>
        <v>0</v>
      </c>
      <c r="BM64" s="22">
        <f>+BH64-BK64</f>
        <v>3997965510.9644098</v>
      </c>
      <c r="BN64" s="20">
        <f>+$C$14*C35</f>
        <v>911541925.63191235</v>
      </c>
      <c r="BO64" s="15">
        <f>+IF(BL64&lt;BN64,BL64,BN64)</f>
        <v>0</v>
      </c>
      <c r="BP64" s="22">
        <f>+BN64-BO64</f>
        <v>911541925.63191235</v>
      </c>
      <c r="BQ64" s="22">
        <f>+BL64-BO64</f>
        <v>0</v>
      </c>
      <c r="BR64" s="22">
        <f>+BM64-BP64</f>
        <v>3086423585.3324976</v>
      </c>
      <c r="BS64" s="20">
        <f>+$C$15*C35</f>
        <v>321227342.27409464</v>
      </c>
      <c r="BT64" s="15">
        <f>+IF(BQ64&lt;BS64,BQ64,BS64)</f>
        <v>0</v>
      </c>
      <c r="BU64" s="22">
        <f>+BS64-BT64</f>
        <v>321227342.27409464</v>
      </c>
      <c r="BV64" s="22">
        <f>+BQ64-BT64</f>
        <v>0</v>
      </c>
      <c r="BW64" s="22">
        <f>+BR64-BU64</f>
        <v>2765196243.058403</v>
      </c>
    </row>
    <row r="65" spans="1:75" ht="15.75" x14ac:dyDescent="0.2">
      <c r="A65" s="1" t="s">
        <v>12</v>
      </c>
      <c r="B65" s="12" t="s">
        <v>27</v>
      </c>
      <c r="C65" s="14">
        <v>4143301447</v>
      </c>
      <c r="D65" s="14">
        <v>12499875600.67</v>
      </c>
      <c r="E65" s="27">
        <f t="shared" si="11"/>
        <v>16643177047.67</v>
      </c>
      <c r="F65" s="20">
        <f t="shared" ref="F65:F73" si="18">+$C$2*C36</f>
        <v>3383348254.7920198</v>
      </c>
      <c r="G65" s="15">
        <f t="shared" ref="G65:G73" si="19">+$D$31*C36</f>
        <v>681101895.11721718</v>
      </c>
      <c r="H65" s="15">
        <f t="shared" ref="H65:H73" si="20">+F65-G65</f>
        <v>2702246359.6748028</v>
      </c>
      <c r="I65" s="15">
        <f t="shared" ref="I65:I73" si="21">+C65-G65</f>
        <v>3462199551.8827829</v>
      </c>
      <c r="J65" s="15">
        <f t="shared" ref="J65:J73" si="22">+D65-H65</f>
        <v>9797629240.9951973</v>
      </c>
      <c r="K65" s="20">
        <f t="shared" ref="K65:K73" si="23">+$C$3*C36</f>
        <v>3744746033.3189716</v>
      </c>
      <c r="L65" s="15">
        <v>0</v>
      </c>
      <c r="M65" s="22">
        <f t="shared" ref="M65:M73" si="24">+K65-L65</f>
        <v>3744746033.3189716</v>
      </c>
      <c r="N65" s="22">
        <f t="shared" ref="N65:N73" si="25">+I65-L65</f>
        <v>3462199551.8827829</v>
      </c>
      <c r="O65" s="22">
        <f t="shared" ref="O65:O73" si="26">+J65-M65</f>
        <v>6052883207.6762257</v>
      </c>
      <c r="P65" s="20">
        <f t="shared" ref="P65:P73" si="27">+$C$4*C51</f>
        <v>324972615.50477993</v>
      </c>
      <c r="Q65" s="15">
        <f t="shared" ref="Q65:Q73" si="28">+IF(N65&lt;P65,N65,P65)</f>
        <v>324972615.50477993</v>
      </c>
      <c r="R65" s="22">
        <f t="shared" ref="R65:R73" si="29">+P65-Q65</f>
        <v>0</v>
      </c>
      <c r="S65" s="22">
        <f t="shared" ref="S65:S73" si="30">+N65-Q65</f>
        <v>3137226936.3780031</v>
      </c>
      <c r="T65" s="22">
        <f t="shared" ref="T65:T73" si="31">+O65-R65</f>
        <v>6052883207.6762257</v>
      </c>
      <c r="U65" s="20">
        <f t="shared" si="12"/>
        <v>324972615.50477993</v>
      </c>
      <c r="V65" s="15">
        <f t="shared" ref="V65:V73" si="32">+IF(S65&lt;U65,S65,U65)</f>
        <v>324972615.50477993</v>
      </c>
      <c r="W65" s="22">
        <f t="shared" ref="W65:W73" si="33">+U65-V65</f>
        <v>0</v>
      </c>
      <c r="X65" s="22">
        <f t="shared" ref="X65:X73" si="34">+S65-V65</f>
        <v>2812254320.8732233</v>
      </c>
      <c r="Y65" s="22">
        <f t="shared" ref="Y65:Y73" si="35">+T65-W65</f>
        <v>6052883207.6762257</v>
      </c>
      <c r="Z65" s="20">
        <f t="shared" si="13"/>
        <v>121864730.81429249</v>
      </c>
      <c r="AA65" s="15">
        <f t="shared" ref="AA65:AA73" si="36">+IF(X65&lt;Z65,X65,Z65)</f>
        <v>121864730.81429249</v>
      </c>
      <c r="AB65" s="22">
        <f t="shared" ref="AB65:AB73" si="37">+Z65-AA65</f>
        <v>0</v>
      </c>
      <c r="AC65" s="22">
        <f t="shared" ref="AC65:AC73" si="38">+X65-AA65</f>
        <v>2690389590.0589309</v>
      </c>
      <c r="AD65" s="22">
        <f t="shared" ref="AD65:AD73" si="39">+Y65-AB65</f>
        <v>6052883207.6762257</v>
      </c>
      <c r="AE65" s="20">
        <f t="shared" si="14"/>
        <v>121864730.81429249</v>
      </c>
      <c r="AF65" s="15">
        <f t="shared" ref="AF65:AF73" si="40">+IF(AC65&lt;AE65,AC65,AE65)</f>
        <v>121864730.81429249</v>
      </c>
      <c r="AG65" s="22">
        <f t="shared" ref="AG65:AG73" si="41">+AE65-AF65</f>
        <v>0</v>
      </c>
      <c r="AH65" s="22">
        <f t="shared" ref="AH65:AH73" si="42">+AC65-AF65</f>
        <v>2568524859.2446384</v>
      </c>
      <c r="AI65" s="22">
        <f t="shared" ref="AI65:AI73" si="43">+AD65-AG65</f>
        <v>6052883207.6762257</v>
      </c>
      <c r="AJ65" s="20">
        <f t="shared" si="15"/>
        <v>812431538.7619499</v>
      </c>
      <c r="AK65" s="15">
        <f t="shared" ref="AK65:AK73" si="44">+IF(AH65&lt;AJ65,AH65,AJ65)</f>
        <v>812431538.7619499</v>
      </c>
      <c r="AL65" s="22">
        <f t="shared" ref="AL65:AL73" si="45">+AJ65-AK65</f>
        <v>0</v>
      </c>
      <c r="AM65" s="22">
        <f t="shared" ref="AM65:AM73" si="46">+AH65-AK65</f>
        <v>1756093320.4826884</v>
      </c>
      <c r="AN65" s="22">
        <f t="shared" ref="AN65:AN73" si="47">+AI65-AL65</f>
        <v>6052883207.6762257</v>
      </c>
      <c r="AO65" s="20">
        <f t="shared" si="16"/>
        <v>812431538.7619499</v>
      </c>
      <c r="AP65" s="15">
        <f t="shared" ref="AP65:AP73" si="48">+IF(AM65&lt;AO65,AM65,AO65)</f>
        <v>812431538.7619499</v>
      </c>
      <c r="AQ65" s="22">
        <f t="shared" ref="AQ65:AQ73" si="49">+AO65-AP65</f>
        <v>0</v>
      </c>
      <c r="AR65" s="22">
        <f t="shared" ref="AR65:AR73" si="50">+AM65-AP65</f>
        <v>943661781.72073853</v>
      </c>
      <c r="AS65" s="22">
        <f t="shared" ref="AS65:AS73" si="51">+AN65-AQ65</f>
        <v>6052883207.6762257</v>
      </c>
      <c r="AT65" s="20">
        <f t="shared" si="17"/>
        <v>1137404154.2667298</v>
      </c>
      <c r="AU65" s="15">
        <f t="shared" ref="AU65:AU73" si="52">+IF(AR65&lt;AT65,AR65,AT65)</f>
        <v>943661781.72073853</v>
      </c>
      <c r="AV65" s="22">
        <f t="shared" ref="AV65:AV73" si="53">+AT65-AU65</f>
        <v>193742372.5459913</v>
      </c>
      <c r="AW65" s="22">
        <f t="shared" ref="AW65:AW73" si="54">+AR65-AU65</f>
        <v>0</v>
      </c>
      <c r="AX65" s="22">
        <f t="shared" ref="AX65:AX73" si="55">+AS65-AV65</f>
        <v>5859140835.1302347</v>
      </c>
      <c r="AY65" s="20">
        <f t="shared" ref="AY65:AY73" si="56">(+$C$11)*C51</f>
        <v>585206883.00897479</v>
      </c>
      <c r="AZ65" s="15">
        <f t="shared" ref="AZ65:AZ73" si="57">+IF(AW65&lt;AY65,AW65,AY65)</f>
        <v>0</v>
      </c>
      <c r="BA65" s="22">
        <f t="shared" ref="BA65:BA73" si="58">+AY65-AZ65</f>
        <v>585206883.00897479</v>
      </c>
      <c r="BB65" s="22">
        <f t="shared" ref="BB65:BB73" si="59">+AW65-AZ65</f>
        <v>0</v>
      </c>
      <c r="BC65" s="22">
        <f t="shared" ref="BC65:BC73" si="60">+AX65-BA65</f>
        <v>5273933952.1212597</v>
      </c>
      <c r="BD65" s="20">
        <f t="shared" ref="BD65:BD73" si="61">($C$12)*C36</f>
        <v>497019852.10971612</v>
      </c>
      <c r="BE65" s="15">
        <f t="shared" ref="BE65:BE73" si="62">+IF(BB65&lt;BD65,BB65,BD65)</f>
        <v>0</v>
      </c>
      <c r="BF65" s="22">
        <f t="shared" ref="BF65:BF73" si="63">+BD65-BE65</f>
        <v>497019852.10971612</v>
      </c>
      <c r="BG65" s="22">
        <f t="shared" ref="BG65:BG73" si="64">+BB65-BE65</f>
        <v>0</v>
      </c>
      <c r="BH65" s="22">
        <f t="shared" ref="BH65:BH73" si="65">+BC65-BF65</f>
        <v>4776914100.0115433</v>
      </c>
      <c r="BI65" s="20">
        <f t="shared" ref="BI65:BI73" si="66">+$C$13*C36</f>
        <v>845618230.10937583</v>
      </c>
      <c r="BJ65" s="15">
        <f t="shared" ref="BJ65:BJ73" si="67">+IF(BG65&lt;BI65,BG65,BI65)</f>
        <v>0</v>
      </c>
      <c r="BK65" s="22">
        <f t="shared" ref="BK65:BK73" si="68">+BI65-BJ65</f>
        <v>845618230.10937583</v>
      </c>
      <c r="BL65" s="22">
        <f t="shared" ref="BL65:BL73" si="69">+BG65-BJ65</f>
        <v>0</v>
      </c>
      <c r="BM65" s="22">
        <f t="shared" ref="BM65:BM73" si="70">+BH65-BK65</f>
        <v>3931295869.9021673</v>
      </c>
      <c r="BN65" s="20">
        <f t="shared" ref="BN65:BN73" si="71">+$C$14*C36</f>
        <v>845618230.10937583</v>
      </c>
      <c r="BO65" s="15">
        <f t="shared" ref="BO65:BO73" si="72">+IF(BL65&lt;BN65,BL65,BN65)</f>
        <v>0</v>
      </c>
      <c r="BP65" s="22">
        <f t="shared" ref="BP65:BP73" si="73">+BN65-BO65</f>
        <v>845618230.10937583</v>
      </c>
      <c r="BQ65" s="22">
        <f t="shared" ref="BQ65:BQ73" si="74">+BL65-BO65</f>
        <v>0</v>
      </c>
      <c r="BR65" s="22">
        <f t="shared" ref="BR65:BR73" si="75">+BM65-BP65</f>
        <v>3085677639.7927914</v>
      </c>
      <c r="BS65" s="20">
        <f t="shared" ref="BS65:BS73" si="76">+$C$15*C36</f>
        <v>297995834.30926818</v>
      </c>
      <c r="BT65" s="15">
        <f t="shared" ref="BT65:BT73" si="77">+IF(BQ65&lt;BS65,BQ65,BS65)</f>
        <v>0</v>
      </c>
      <c r="BU65" s="22">
        <f t="shared" ref="BU65:BU73" si="78">+BS65-BT65</f>
        <v>297995834.30926818</v>
      </c>
      <c r="BV65" s="22">
        <f t="shared" ref="BV65:BV73" si="79">+BQ65-BT65</f>
        <v>0</v>
      </c>
      <c r="BW65" s="22">
        <f t="shared" ref="BW65:BW73" si="80">+BR65-BU65</f>
        <v>2787681805.4835234</v>
      </c>
    </row>
    <row r="66" spans="1:75" ht="15.75" x14ac:dyDescent="0.2">
      <c r="A66" s="1" t="s">
        <v>14</v>
      </c>
      <c r="B66" s="12" t="s">
        <v>28</v>
      </c>
      <c r="C66" s="14">
        <v>3064907920</v>
      </c>
      <c r="D66" s="14">
        <v>9045172676</v>
      </c>
      <c r="E66" s="27">
        <f t="shared" si="11"/>
        <v>12110080596</v>
      </c>
      <c r="F66" s="20">
        <f t="shared" si="18"/>
        <v>2499380366.388957</v>
      </c>
      <c r="G66" s="15">
        <f t="shared" si="19"/>
        <v>503150304.36348867</v>
      </c>
      <c r="H66" s="15">
        <f t="shared" si="20"/>
        <v>1996230062.0254683</v>
      </c>
      <c r="I66" s="15">
        <f t="shared" si="21"/>
        <v>2561757615.6365113</v>
      </c>
      <c r="J66" s="15">
        <f t="shared" si="22"/>
        <v>7048942613.9745312</v>
      </c>
      <c r="K66" s="20">
        <f t="shared" si="23"/>
        <v>2766355694.9935412</v>
      </c>
      <c r="L66" s="15">
        <v>0</v>
      </c>
      <c r="M66" s="22">
        <f t="shared" si="24"/>
        <v>2766355694.9935412</v>
      </c>
      <c r="N66" s="22">
        <f t="shared" si="25"/>
        <v>2561757615.6365113</v>
      </c>
      <c r="O66" s="22">
        <f t="shared" si="26"/>
        <v>4282586918.9809899</v>
      </c>
      <c r="P66" s="20">
        <f t="shared" si="27"/>
        <v>240934792.25741291</v>
      </c>
      <c r="Q66" s="15">
        <f t="shared" si="28"/>
        <v>240934792.25741291</v>
      </c>
      <c r="R66" s="22">
        <f t="shared" si="29"/>
        <v>0</v>
      </c>
      <c r="S66" s="22">
        <f t="shared" si="30"/>
        <v>2320822823.3790984</v>
      </c>
      <c r="T66" s="22">
        <f t="shared" si="31"/>
        <v>4282586918.9809899</v>
      </c>
      <c r="U66" s="20">
        <f t="shared" si="12"/>
        <v>240934792.25741291</v>
      </c>
      <c r="V66" s="15">
        <f t="shared" si="32"/>
        <v>240934792.25741291</v>
      </c>
      <c r="W66" s="22">
        <f t="shared" si="33"/>
        <v>0</v>
      </c>
      <c r="X66" s="22">
        <f t="shared" si="34"/>
        <v>2079888031.1216855</v>
      </c>
      <c r="Y66" s="22">
        <f t="shared" si="35"/>
        <v>4282586918.9809899</v>
      </c>
      <c r="Z66" s="20">
        <f t="shared" si="13"/>
        <v>90350547.096529841</v>
      </c>
      <c r="AA66" s="15">
        <f t="shared" si="36"/>
        <v>90350547.096529841</v>
      </c>
      <c r="AB66" s="22">
        <f t="shared" si="37"/>
        <v>0</v>
      </c>
      <c r="AC66" s="22">
        <f t="shared" si="38"/>
        <v>1989537484.0251555</v>
      </c>
      <c r="AD66" s="22">
        <f t="shared" si="39"/>
        <v>4282586918.9809899</v>
      </c>
      <c r="AE66" s="20">
        <f t="shared" si="14"/>
        <v>90350547.096529841</v>
      </c>
      <c r="AF66" s="15">
        <f t="shared" si="40"/>
        <v>90350547.096529841</v>
      </c>
      <c r="AG66" s="22">
        <f t="shared" si="41"/>
        <v>0</v>
      </c>
      <c r="AH66" s="22">
        <f t="shared" si="42"/>
        <v>1899186936.9286256</v>
      </c>
      <c r="AI66" s="22">
        <f t="shared" si="43"/>
        <v>4282586918.9809899</v>
      </c>
      <c r="AJ66" s="20">
        <f t="shared" si="15"/>
        <v>602336980.64353228</v>
      </c>
      <c r="AK66" s="15">
        <f t="shared" si="44"/>
        <v>602336980.64353228</v>
      </c>
      <c r="AL66" s="22">
        <f t="shared" si="45"/>
        <v>0</v>
      </c>
      <c r="AM66" s="22">
        <f t="shared" si="46"/>
        <v>1296849956.2850933</v>
      </c>
      <c r="AN66" s="22">
        <f t="shared" si="47"/>
        <v>4282586918.9809899</v>
      </c>
      <c r="AO66" s="20">
        <f t="shared" si="16"/>
        <v>602336980.64353228</v>
      </c>
      <c r="AP66" s="15">
        <f t="shared" si="48"/>
        <v>602336980.64353228</v>
      </c>
      <c r="AQ66" s="22">
        <f t="shared" si="49"/>
        <v>0</v>
      </c>
      <c r="AR66" s="22">
        <f t="shared" si="50"/>
        <v>694512975.64156103</v>
      </c>
      <c r="AS66" s="22">
        <f t="shared" si="51"/>
        <v>4282586918.9809899</v>
      </c>
      <c r="AT66" s="20">
        <f t="shared" si="17"/>
        <v>843271772.90094519</v>
      </c>
      <c r="AU66" s="15">
        <f t="shared" si="52"/>
        <v>694512975.64156103</v>
      </c>
      <c r="AV66" s="22">
        <f t="shared" si="53"/>
        <v>148758797.25938416</v>
      </c>
      <c r="AW66" s="22">
        <f t="shared" si="54"/>
        <v>0</v>
      </c>
      <c r="AX66" s="22">
        <f t="shared" si="55"/>
        <v>4133828121.7216058</v>
      </c>
      <c r="AY66" s="20">
        <f t="shared" si="56"/>
        <v>433872554.35774279</v>
      </c>
      <c r="AZ66" s="15">
        <f t="shared" si="57"/>
        <v>0</v>
      </c>
      <c r="BA66" s="22">
        <f t="shared" si="58"/>
        <v>433872554.35774279</v>
      </c>
      <c r="BB66" s="22">
        <f t="shared" si="59"/>
        <v>0</v>
      </c>
      <c r="BC66" s="22">
        <f t="shared" si="60"/>
        <v>3699955567.363863</v>
      </c>
      <c r="BD66" s="20">
        <f t="shared" si="61"/>
        <v>367163403.38571805</v>
      </c>
      <c r="BE66" s="15">
        <f t="shared" si="62"/>
        <v>0</v>
      </c>
      <c r="BF66" s="22">
        <f t="shared" si="63"/>
        <v>367163403.38571805</v>
      </c>
      <c r="BG66" s="22">
        <f t="shared" si="64"/>
        <v>0</v>
      </c>
      <c r="BH66" s="22">
        <f t="shared" si="65"/>
        <v>3332792163.9781451</v>
      </c>
      <c r="BI66" s="20">
        <f t="shared" si="66"/>
        <v>624683432.6919961</v>
      </c>
      <c r="BJ66" s="15">
        <f t="shared" si="67"/>
        <v>0</v>
      </c>
      <c r="BK66" s="22">
        <f t="shared" si="68"/>
        <v>624683432.6919961</v>
      </c>
      <c r="BL66" s="22">
        <f t="shared" si="69"/>
        <v>0</v>
      </c>
      <c r="BM66" s="22">
        <f t="shared" si="70"/>
        <v>2708108731.286149</v>
      </c>
      <c r="BN66" s="20">
        <f t="shared" si="71"/>
        <v>624683432.6919961</v>
      </c>
      <c r="BO66" s="15">
        <f t="shared" si="72"/>
        <v>0</v>
      </c>
      <c r="BP66" s="22">
        <f t="shared" si="73"/>
        <v>624683432.6919961</v>
      </c>
      <c r="BQ66" s="22">
        <f t="shared" si="74"/>
        <v>0</v>
      </c>
      <c r="BR66" s="22">
        <f t="shared" si="75"/>
        <v>2083425298.5941529</v>
      </c>
      <c r="BS66" s="20">
        <f t="shared" si="76"/>
        <v>220138419.53259581</v>
      </c>
      <c r="BT66" s="15">
        <f t="shared" si="77"/>
        <v>0</v>
      </c>
      <c r="BU66" s="22">
        <f t="shared" si="78"/>
        <v>220138419.53259581</v>
      </c>
      <c r="BV66" s="22">
        <f t="shared" si="79"/>
        <v>0</v>
      </c>
      <c r="BW66" s="22">
        <f t="shared" si="80"/>
        <v>1863286879.0615571</v>
      </c>
    </row>
    <row r="67" spans="1:75" ht="15.75" x14ac:dyDescent="0.2">
      <c r="A67" s="1" t="s">
        <v>13</v>
      </c>
      <c r="B67" s="12" t="s">
        <v>29</v>
      </c>
      <c r="C67" s="14">
        <v>3093286697</v>
      </c>
      <c r="D67" s="14">
        <v>9107742512</v>
      </c>
      <c r="E67" s="27">
        <f t="shared" si="11"/>
        <v>12201029209</v>
      </c>
      <c r="F67" s="20">
        <f t="shared" si="18"/>
        <v>2521791136.0516949</v>
      </c>
      <c r="G67" s="15">
        <f t="shared" si="19"/>
        <v>507661816.78811336</v>
      </c>
      <c r="H67" s="15">
        <f t="shared" si="20"/>
        <v>2014129319.2635815</v>
      </c>
      <c r="I67" s="15">
        <f t="shared" si="21"/>
        <v>2585624880.2118864</v>
      </c>
      <c r="J67" s="15">
        <f t="shared" si="22"/>
        <v>7093613192.7364187</v>
      </c>
      <c r="K67" s="20">
        <f t="shared" si="23"/>
        <v>2791160307.0163503</v>
      </c>
      <c r="L67" s="15">
        <v>0</v>
      </c>
      <c r="M67" s="22">
        <f t="shared" si="24"/>
        <v>2791160307.0163503</v>
      </c>
      <c r="N67" s="22">
        <f t="shared" si="25"/>
        <v>2585624880.2118864</v>
      </c>
      <c r="O67" s="22">
        <f t="shared" si="26"/>
        <v>4302452885.720068</v>
      </c>
      <c r="P67" s="20">
        <f t="shared" si="27"/>
        <v>243283780.42701474</v>
      </c>
      <c r="Q67" s="15">
        <f t="shared" si="28"/>
        <v>243283780.42701474</v>
      </c>
      <c r="R67" s="22">
        <f t="shared" si="29"/>
        <v>0</v>
      </c>
      <c r="S67" s="22">
        <f t="shared" si="30"/>
        <v>2342341099.7848716</v>
      </c>
      <c r="T67" s="22">
        <f t="shared" si="31"/>
        <v>4302452885.720068</v>
      </c>
      <c r="U67" s="20">
        <f t="shared" si="12"/>
        <v>243283780.42701474</v>
      </c>
      <c r="V67" s="15">
        <f t="shared" si="32"/>
        <v>243283780.42701474</v>
      </c>
      <c r="W67" s="22">
        <f t="shared" si="33"/>
        <v>0</v>
      </c>
      <c r="X67" s="22">
        <f t="shared" si="34"/>
        <v>2099057319.3578568</v>
      </c>
      <c r="Y67" s="22">
        <f t="shared" si="35"/>
        <v>4302452885.720068</v>
      </c>
      <c r="Z67" s="20">
        <f t="shared" si="13"/>
        <v>91231417.660130531</v>
      </c>
      <c r="AA67" s="15">
        <f t="shared" si="36"/>
        <v>91231417.660130531</v>
      </c>
      <c r="AB67" s="22">
        <f t="shared" si="37"/>
        <v>0</v>
      </c>
      <c r="AC67" s="22">
        <f t="shared" si="38"/>
        <v>2007825901.6977262</v>
      </c>
      <c r="AD67" s="22">
        <f t="shared" si="39"/>
        <v>4302452885.720068</v>
      </c>
      <c r="AE67" s="20">
        <f t="shared" si="14"/>
        <v>91231417.660130531</v>
      </c>
      <c r="AF67" s="15">
        <f t="shared" si="40"/>
        <v>91231417.660130531</v>
      </c>
      <c r="AG67" s="22">
        <f t="shared" si="41"/>
        <v>0</v>
      </c>
      <c r="AH67" s="22">
        <f t="shared" si="42"/>
        <v>1916594484.0375957</v>
      </c>
      <c r="AI67" s="22">
        <f t="shared" si="43"/>
        <v>4302452885.720068</v>
      </c>
      <c r="AJ67" s="20">
        <f t="shared" si="15"/>
        <v>608209451.06753683</v>
      </c>
      <c r="AK67" s="15">
        <f t="shared" si="44"/>
        <v>608209451.06753683</v>
      </c>
      <c r="AL67" s="22">
        <f t="shared" si="45"/>
        <v>0</v>
      </c>
      <c r="AM67" s="22">
        <f t="shared" si="46"/>
        <v>1308385032.9700589</v>
      </c>
      <c r="AN67" s="22">
        <f t="shared" si="47"/>
        <v>4302452885.720068</v>
      </c>
      <c r="AO67" s="20">
        <f t="shared" si="16"/>
        <v>608209451.06753683</v>
      </c>
      <c r="AP67" s="15">
        <f t="shared" si="48"/>
        <v>608209451.06753683</v>
      </c>
      <c r="AQ67" s="22">
        <f t="shared" si="49"/>
        <v>0</v>
      </c>
      <c r="AR67" s="22">
        <f t="shared" si="50"/>
        <v>700175581.90252209</v>
      </c>
      <c r="AS67" s="22">
        <f t="shared" si="51"/>
        <v>4302452885.720068</v>
      </c>
      <c r="AT67" s="20">
        <f t="shared" si="17"/>
        <v>851493231.49455154</v>
      </c>
      <c r="AU67" s="15">
        <f t="shared" si="52"/>
        <v>700175581.90252209</v>
      </c>
      <c r="AV67" s="22">
        <f t="shared" si="53"/>
        <v>151317649.59202945</v>
      </c>
      <c r="AW67" s="22">
        <f t="shared" si="54"/>
        <v>0</v>
      </c>
      <c r="AX67" s="22">
        <f t="shared" si="55"/>
        <v>4151135236.1280384</v>
      </c>
      <c r="AY67" s="20">
        <f t="shared" si="56"/>
        <v>438102584.76452768</v>
      </c>
      <c r="AZ67" s="15">
        <f t="shared" si="57"/>
        <v>0</v>
      </c>
      <c r="BA67" s="22">
        <f t="shared" si="58"/>
        <v>438102584.76452768</v>
      </c>
      <c r="BB67" s="22">
        <f t="shared" si="59"/>
        <v>0</v>
      </c>
      <c r="BC67" s="22">
        <f t="shared" si="60"/>
        <v>3713032651.3635106</v>
      </c>
      <c r="BD67" s="20">
        <f t="shared" si="61"/>
        <v>370455585.14905345</v>
      </c>
      <c r="BE67" s="15">
        <f t="shared" si="62"/>
        <v>0</v>
      </c>
      <c r="BF67" s="22">
        <f t="shared" si="63"/>
        <v>370455585.14905345</v>
      </c>
      <c r="BG67" s="22">
        <f t="shared" si="64"/>
        <v>0</v>
      </c>
      <c r="BH67" s="22">
        <f t="shared" si="65"/>
        <v>3342577066.214457</v>
      </c>
      <c r="BI67" s="20">
        <f t="shared" si="66"/>
        <v>630284675.58821642</v>
      </c>
      <c r="BJ67" s="15">
        <f t="shared" si="67"/>
        <v>0</v>
      </c>
      <c r="BK67" s="22">
        <f t="shared" si="68"/>
        <v>630284675.58821642</v>
      </c>
      <c r="BL67" s="22">
        <f t="shared" si="69"/>
        <v>0</v>
      </c>
      <c r="BM67" s="22">
        <f t="shared" si="70"/>
        <v>2712292390.6262407</v>
      </c>
      <c r="BN67" s="20">
        <f t="shared" si="71"/>
        <v>630284675.58821642</v>
      </c>
      <c r="BO67" s="15">
        <f t="shared" si="72"/>
        <v>0</v>
      </c>
      <c r="BP67" s="22">
        <f t="shared" si="73"/>
        <v>630284675.58821642</v>
      </c>
      <c r="BQ67" s="22">
        <f t="shared" si="74"/>
        <v>0</v>
      </c>
      <c r="BR67" s="22">
        <f t="shared" si="75"/>
        <v>2082007715.0380244</v>
      </c>
      <c r="BS67" s="20">
        <f t="shared" si="76"/>
        <v>222112297.3306326</v>
      </c>
      <c r="BT67" s="15">
        <f t="shared" si="77"/>
        <v>0</v>
      </c>
      <c r="BU67" s="22">
        <f t="shared" si="78"/>
        <v>222112297.3306326</v>
      </c>
      <c r="BV67" s="22">
        <f t="shared" si="79"/>
        <v>0</v>
      </c>
      <c r="BW67" s="22">
        <f t="shared" si="80"/>
        <v>1859895417.7073917</v>
      </c>
    </row>
    <row r="68" spans="1:75" ht="15.75" x14ac:dyDescent="0.2">
      <c r="A68" s="1" t="s">
        <v>19</v>
      </c>
      <c r="B68" s="12" t="s">
        <v>30</v>
      </c>
      <c r="C68" s="14">
        <v>4347265707</v>
      </c>
      <c r="D68" s="14">
        <v>17860829680</v>
      </c>
      <c r="E68" s="27">
        <f t="shared" si="11"/>
        <v>22208095387</v>
      </c>
      <c r="F68" s="20">
        <f t="shared" si="18"/>
        <v>4600027748.887269</v>
      </c>
      <c r="G68" s="15">
        <f t="shared" si="19"/>
        <v>926031664.91103697</v>
      </c>
      <c r="H68" s="15">
        <f t="shared" si="20"/>
        <v>3673996083.9762321</v>
      </c>
      <c r="I68" s="15">
        <f t="shared" si="21"/>
        <v>3421234042.088963</v>
      </c>
      <c r="J68" s="15">
        <f t="shared" si="22"/>
        <v>14186833596.023767</v>
      </c>
      <c r="K68" s="20">
        <f t="shared" si="23"/>
        <v>5091387101.9351234</v>
      </c>
      <c r="L68" s="15">
        <v>0</v>
      </c>
      <c r="M68" s="22">
        <f t="shared" si="24"/>
        <v>5091387101.9351234</v>
      </c>
      <c r="N68" s="22">
        <f t="shared" si="25"/>
        <v>3421234042.088963</v>
      </c>
      <c r="O68" s="22">
        <f t="shared" si="26"/>
        <v>9095446494.088644</v>
      </c>
      <c r="P68" s="20">
        <f t="shared" si="27"/>
        <v>345182850.68591118</v>
      </c>
      <c r="Q68" s="15">
        <f t="shared" si="28"/>
        <v>345182850.68591118</v>
      </c>
      <c r="R68" s="22">
        <f t="shared" si="29"/>
        <v>0</v>
      </c>
      <c r="S68" s="22">
        <f t="shared" si="30"/>
        <v>3076051191.4030519</v>
      </c>
      <c r="T68" s="22">
        <f t="shared" si="31"/>
        <v>9095446494.088644</v>
      </c>
      <c r="U68" s="20">
        <f t="shared" si="12"/>
        <v>345182850.68591118</v>
      </c>
      <c r="V68" s="15">
        <f t="shared" si="32"/>
        <v>345182850.68591118</v>
      </c>
      <c r="W68" s="22">
        <f t="shared" si="33"/>
        <v>0</v>
      </c>
      <c r="X68" s="22">
        <f t="shared" si="34"/>
        <v>2730868340.7171407</v>
      </c>
      <c r="Y68" s="22">
        <f t="shared" si="35"/>
        <v>9095446494.088644</v>
      </c>
      <c r="Z68" s="20">
        <f t="shared" si="13"/>
        <v>129443569.00721671</v>
      </c>
      <c r="AA68" s="15">
        <f t="shared" si="36"/>
        <v>129443569.00721671</v>
      </c>
      <c r="AB68" s="22">
        <f t="shared" si="37"/>
        <v>0</v>
      </c>
      <c r="AC68" s="22">
        <f t="shared" si="38"/>
        <v>2601424771.7099237</v>
      </c>
      <c r="AD68" s="22">
        <f t="shared" si="39"/>
        <v>9095446494.088644</v>
      </c>
      <c r="AE68" s="20">
        <f t="shared" si="14"/>
        <v>129443569.00721671</v>
      </c>
      <c r="AF68" s="15">
        <f t="shared" si="40"/>
        <v>129443569.00721671</v>
      </c>
      <c r="AG68" s="22">
        <f t="shared" si="41"/>
        <v>0</v>
      </c>
      <c r="AH68" s="22">
        <f t="shared" si="42"/>
        <v>2471981202.7027068</v>
      </c>
      <c r="AI68" s="22">
        <f t="shared" si="43"/>
        <v>9095446494.088644</v>
      </c>
      <c r="AJ68" s="20">
        <f t="shared" si="15"/>
        <v>862957126.71477795</v>
      </c>
      <c r="AK68" s="15">
        <f t="shared" si="44"/>
        <v>862957126.71477795</v>
      </c>
      <c r="AL68" s="22">
        <f t="shared" si="45"/>
        <v>0</v>
      </c>
      <c r="AM68" s="22">
        <f t="shared" si="46"/>
        <v>1609024075.9879289</v>
      </c>
      <c r="AN68" s="22">
        <f t="shared" si="47"/>
        <v>9095446494.088644</v>
      </c>
      <c r="AO68" s="20">
        <f t="shared" si="16"/>
        <v>862957126.71477795</v>
      </c>
      <c r="AP68" s="15">
        <f t="shared" si="48"/>
        <v>862957126.71477795</v>
      </c>
      <c r="AQ68" s="22">
        <f t="shared" si="49"/>
        <v>0</v>
      </c>
      <c r="AR68" s="22">
        <f t="shared" si="50"/>
        <v>746066949.27315092</v>
      </c>
      <c r="AS68" s="22">
        <f t="shared" si="51"/>
        <v>9095446494.088644</v>
      </c>
      <c r="AT68" s="20">
        <f t="shared" si="17"/>
        <v>1208139977.4006891</v>
      </c>
      <c r="AU68" s="15">
        <f t="shared" si="52"/>
        <v>746066949.27315092</v>
      </c>
      <c r="AV68" s="22">
        <f t="shared" si="53"/>
        <v>462073028.1275382</v>
      </c>
      <c r="AW68" s="22">
        <f t="shared" si="54"/>
        <v>0</v>
      </c>
      <c r="AX68" s="22">
        <f t="shared" si="55"/>
        <v>8633373465.9611053</v>
      </c>
      <c r="AY68" s="20">
        <f t="shared" si="56"/>
        <v>621601238.01287878</v>
      </c>
      <c r="AZ68" s="15">
        <f t="shared" si="57"/>
        <v>0</v>
      </c>
      <c r="BA68" s="22">
        <f t="shared" si="58"/>
        <v>621601238.01287878</v>
      </c>
      <c r="BB68" s="22">
        <f t="shared" si="59"/>
        <v>0</v>
      </c>
      <c r="BC68" s="22">
        <f t="shared" si="60"/>
        <v>8011772227.9482269</v>
      </c>
      <c r="BD68" s="20">
        <f t="shared" si="61"/>
        <v>675752225.09663999</v>
      </c>
      <c r="BE68" s="15">
        <f t="shared" si="62"/>
        <v>0</v>
      </c>
      <c r="BF68" s="22">
        <f t="shared" si="63"/>
        <v>675752225.09663999</v>
      </c>
      <c r="BG68" s="22">
        <f t="shared" si="64"/>
        <v>0</v>
      </c>
      <c r="BH68" s="22">
        <f t="shared" si="65"/>
        <v>7336020002.8515873</v>
      </c>
      <c r="BI68" s="20">
        <f t="shared" si="66"/>
        <v>1149709409.2985075</v>
      </c>
      <c r="BJ68" s="15">
        <f t="shared" si="67"/>
        <v>0</v>
      </c>
      <c r="BK68" s="22">
        <f t="shared" si="68"/>
        <v>1149709409.2985075</v>
      </c>
      <c r="BL68" s="22">
        <f t="shared" si="69"/>
        <v>0</v>
      </c>
      <c r="BM68" s="22">
        <f t="shared" si="70"/>
        <v>6186310593.5530796</v>
      </c>
      <c r="BN68" s="20">
        <f t="shared" si="71"/>
        <v>1149709409.2985075</v>
      </c>
      <c r="BO68" s="15">
        <f t="shared" si="72"/>
        <v>0</v>
      </c>
      <c r="BP68" s="22">
        <f t="shared" si="73"/>
        <v>1149709409.2985075</v>
      </c>
      <c r="BQ68" s="22">
        <f t="shared" si="74"/>
        <v>0</v>
      </c>
      <c r="BR68" s="22">
        <f t="shared" si="75"/>
        <v>5036601184.2545719</v>
      </c>
      <c r="BS68" s="20">
        <f t="shared" si="76"/>
        <v>405157555.07400799</v>
      </c>
      <c r="BT68" s="15">
        <f t="shared" si="77"/>
        <v>0</v>
      </c>
      <c r="BU68" s="22">
        <f t="shared" si="78"/>
        <v>405157555.07400799</v>
      </c>
      <c r="BV68" s="22">
        <f t="shared" si="79"/>
        <v>0</v>
      </c>
      <c r="BW68" s="22">
        <f t="shared" si="80"/>
        <v>4631443629.1805639</v>
      </c>
    </row>
    <row r="69" spans="1:75" ht="15.75" x14ac:dyDescent="0.2">
      <c r="A69" s="1" t="s">
        <v>20</v>
      </c>
      <c r="B69" s="12" t="s">
        <v>31</v>
      </c>
      <c r="C69" s="14">
        <v>1638416724</v>
      </c>
      <c r="D69" s="14">
        <v>6709985187</v>
      </c>
      <c r="E69" s="27">
        <f t="shared" si="11"/>
        <v>8348401911</v>
      </c>
      <c r="F69" s="20">
        <f t="shared" si="18"/>
        <v>1724310625.9361289</v>
      </c>
      <c r="G69" s="15">
        <f t="shared" si="19"/>
        <v>347121001.63867009</v>
      </c>
      <c r="H69" s="15">
        <f t="shared" si="20"/>
        <v>1377189624.2974586</v>
      </c>
      <c r="I69" s="15">
        <f t="shared" si="21"/>
        <v>1291295722.36133</v>
      </c>
      <c r="J69" s="15">
        <f t="shared" si="22"/>
        <v>5332795562.7025414</v>
      </c>
      <c r="K69" s="20">
        <f t="shared" si="23"/>
        <v>1908495635.2153587</v>
      </c>
      <c r="L69" s="15">
        <v>0</v>
      </c>
      <c r="M69" s="22">
        <f t="shared" si="24"/>
        <v>1908495635.2153587</v>
      </c>
      <c r="N69" s="22">
        <f t="shared" si="25"/>
        <v>1291295722.36133</v>
      </c>
      <c r="O69" s="22">
        <f t="shared" si="26"/>
        <v>3424299927.4871826</v>
      </c>
      <c r="P69" s="20">
        <f t="shared" si="27"/>
        <v>131606363.51731086</v>
      </c>
      <c r="Q69" s="15">
        <f t="shared" si="28"/>
        <v>131606363.51731086</v>
      </c>
      <c r="R69" s="22">
        <f t="shared" si="29"/>
        <v>0</v>
      </c>
      <c r="S69" s="22">
        <f t="shared" si="30"/>
        <v>1159689358.8440192</v>
      </c>
      <c r="T69" s="22">
        <f t="shared" si="31"/>
        <v>3424299927.4871826</v>
      </c>
      <c r="U69" s="20">
        <f t="shared" si="12"/>
        <v>131606363.51731086</v>
      </c>
      <c r="V69" s="15">
        <f t="shared" si="32"/>
        <v>131606363.51731086</v>
      </c>
      <c r="W69" s="22">
        <f t="shared" si="33"/>
        <v>0</v>
      </c>
      <c r="X69" s="22">
        <f t="shared" si="34"/>
        <v>1028082995.3267083</v>
      </c>
      <c r="Y69" s="22">
        <f t="shared" si="35"/>
        <v>3424299927.4871826</v>
      </c>
      <c r="Z69" s="20">
        <f t="shared" si="13"/>
        <v>49352386.318991572</v>
      </c>
      <c r="AA69" s="15">
        <f t="shared" si="36"/>
        <v>49352386.318991572</v>
      </c>
      <c r="AB69" s="22">
        <f t="shared" si="37"/>
        <v>0</v>
      </c>
      <c r="AC69" s="22">
        <f t="shared" si="38"/>
        <v>978730609.00771677</v>
      </c>
      <c r="AD69" s="22">
        <f t="shared" si="39"/>
        <v>3424299927.4871826</v>
      </c>
      <c r="AE69" s="20">
        <f t="shared" si="14"/>
        <v>49352386.318991572</v>
      </c>
      <c r="AF69" s="15">
        <f t="shared" si="40"/>
        <v>49352386.318991572</v>
      </c>
      <c r="AG69" s="22">
        <f t="shared" si="41"/>
        <v>0</v>
      </c>
      <c r="AH69" s="22">
        <f t="shared" si="42"/>
        <v>929378222.68872523</v>
      </c>
      <c r="AI69" s="22">
        <f t="shared" si="43"/>
        <v>3424299927.4871826</v>
      </c>
      <c r="AJ69" s="20">
        <f t="shared" si="15"/>
        <v>329015908.79327714</v>
      </c>
      <c r="AK69" s="15">
        <f t="shared" si="44"/>
        <v>329015908.79327714</v>
      </c>
      <c r="AL69" s="22">
        <f t="shared" si="45"/>
        <v>0</v>
      </c>
      <c r="AM69" s="22">
        <f t="shared" si="46"/>
        <v>600362313.89544809</v>
      </c>
      <c r="AN69" s="22">
        <f t="shared" si="47"/>
        <v>3424299927.4871826</v>
      </c>
      <c r="AO69" s="20">
        <f t="shared" si="16"/>
        <v>329015908.79327714</v>
      </c>
      <c r="AP69" s="15">
        <f t="shared" si="48"/>
        <v>329015908.79327714</v>
      </c>
      <c r="AQ69" s="22">
        <f t="shared" si="49"/>
        <v>0</v>
      </c>
      <c r="AR69" s="22">
        <f t="shared" si="50"/>
        <v>271346405.10217094</v>
      </c>
      <c r="AS69" s="22">
        <f t="shared" si="51"/>
        <v>3424299927.4871826</v>
      </c>
      <c r="AT69" s="20">
        <f t="shared" si="17"/>
        <v>460622272.310588</v>
      </c>
      <c r="AU69" s="15">
        <f t="shared" si="52"/>
        <v>271346405.10217094</v>
      </c>
      <c r="AV69" s="22">
        <f t="shared" si="53"/>
        <v>189275867.20841706</v>
      </c>
      <c r="AW69" s="22">
        <f t="shared" si="54"/>
        <v>0</v>
      </c>
      <c r="AX69" s="22">
        <f t="shared" si="55"/>
        <v>3235024060.2787657</v>
      </c>
      <c r="AY69" s="20">
        <f t="shared" si="56"/>
        <v>236995199.29850435</v>
      </c>
      <c r="AZ69" s="15">
        <f t="shared" si="57"/>
        <v>0</v>
      </c>
      <c r="BA69" s="22">
        <f t="shared" si="58"/>
        <v>236995199.29850435</v>
      </c>
      <c r="BB69" s="22">
        <f t="shared" si="59"/>
        <v>0</v>
      </c>
      <c r="BC69" s="22">
        <f t="shared" si="60"/>
        <v>2998028860.9802613</v>
      </c>
      <c r="BD69" s="20">
        <f t="shared" si="61"/>
        <v>253304285.50479475</v>
      </c>
      <c r="BE69" s="15">
        <f t="shared" si="62"/>
        <v>0</v>
      </c>
      <c r="BF69" s="22">
        <f t="shared" si="63"/>
        <v>253304285.50479475</v>
      </c>
      <c r="BG69" s="22">
        <f t="shared" si="64"/>
        <v>0</v>
      </c>
      <c r="BH69" s="22">
        <f t="shared" si="65"/>
        <v>2744724575.4754667</v>
      </c>
      <c r="BI69" s="20">
        <f t="shared" si="66"/>
        <v>430966128.77427</v>
      </c>
      <c r="BJ69" s="15">
        <f t="shared" si="67"/>
        <v>0</v>
      </c>
      <c r="BK69" s="22">
        <f t="shared" si="68"/>
        <v>430966128.77427</v>
      </c>
      <c r="BL69" s="22">
        <f t="shared" si="69"/>
        <v>0</v>
      </c>
      <c r="BM69" s="22">
        <f t="shared" si="70"/>
        <v>2313758446.7011967</v>
      </c>
      <c r="BN69" s="20">
        <f t="shared" si="71"/>
        <v>430966128.77427</v>
      </c>
      <c r="BO69" s="15">
        <f t="shared" si="72"/>
        <v>0</v>
      </c>
      <c r="BP69" s="22">
        <f t="shared" si="73"/>
        <v>430966128.77427</v>
      </c>
      <c r="BQ69" s="22">
        <f t="shared" si="74"/>
        <v>0</v>
      </c>
      <c r="BR69" s="22">
        <f t="shared" si="75"/>
        <v>1882792317.9269266</v>
      </c>
      <c r="BS69" s="20">
        <f t="shared" si="76"/>
        <v>151872448.50020903</v>
      </c>
      <c r="BT69" s="15">
        <f t="shared" si="77"/>
        <v>0</v>
      </c>
      <c r="BU69" s="22">
        <f t="shared" si="78"/>
        <v>151872448.50020903</v>
      </c>
      <c r="BV69" s="22">
        <f t="shared" si="79"/>
        <v>0</v>
      </c>
      <c r="BW69" s="22">
        <f t="shared" si="80"/>
        <v>1730919869.4267175</v>
      </c>
    </row>
    <row r="70" spans="1:75" ht="15.75" x14ac:dyDescent="0.2">
      <c r="A70" s="1" t="s">
        <v>18</v>
      </c>
      <c r="B70" s="12" t="s">
        <v>32</v>
      </c>
      <c r="C70" s="14">
        <v>2512238977</v>
      </c>
      <c r="D70" s="14">
        <v>10448544356</v>
      </c>
      <c r="E70" s="27">
        <f t="shared" si="11"/>
        <v>12960783333</v>
      </c>
      <c r="F70" s="20">
        <f t="shared" si="18"/>
        <v>2674955557.7872286</v>
      </c>
      <c r="G70" s="15">
        <f t="shared" si="19"/>
        <v>538495349.15086961</v>
      </c>
      <c r="H70" s="15">
        <f t="shared" si="20"/>
        <v>2136460208.636359</v>
      </c>
      <c r="I70" s="15">
        <f t="shared" si="21"/>
        <v>1973743627.8491304</v>
      </c>
      <c r="J70" s="15">
        <f t="shared" si="22"/>
        <v>8312084147.3636408</v>
      </c>
      <c r="K70" s="20">
        <f t="shared" si="23"/>
        <v>2960685232.4884377</v>
      </c>
      <c r="L70" s="15">
        <v>0</v>
      </c>
      <c r="M70" s="22">
        <f t="shared" si="24"/>
        <v>2960685232.4884377</v>
      </c>
      <c r="N70" s="22">
        <f t="shared" si="25"/>
        <v>1973743627.8491304</v>
      </c>
      <c r="O70" s="22">
        <f t="shared" si="26"/>
        <v>5351398914.8752031</v>
      </c>
      <c r="P70" s="20">
        <f t="shared" si="27"/>
        <v>196789994.15275353</v>
      </c>
      <c r="Q70" s="15">
        <f t="shared" si="28"/>
        <v>196789994.15275353</v>
      </c>
      <c r="R70" s="22">
        <f t="shared" si="29"/>
        <v>0</v>
      </c>
      <c r="S70" s="22">
        <f t="shared" si="30"/>
        <v>1776953633.6963768</v>
      </c>
      <c r="T70" s="22">
        <f t="shared" si="31"/>
        <v>5351398914.8752031</v>
      </c>
      <c r="U70" s="20">
        <f t="shared" si="12"/>
        <v>196789994.15275353</v>
      </c>
      <c r="V70" s="15">
        <f t="shared" si="32"/>
        <v>196789994.15275353</v>
      </c>
      <c r="W70" s="22">
        <f t="shared" si="33"/>
        <v>0</v>
      </c>
      <c r="X70" s="22">
        <f t="shared" si="34"/>
        <v>1580163639.5436232</v>
      </c>
      <c r="Y70" s="22">
        <f t="shared" si="35"/>
        <v>5351398914.8752031</v>
      </c>
      <c r="Z70" s="20">
        <f t="shared" si="13"/>
        <v>73796247.807282567</v>
      </c>
      <c r="AA70" s="15">
        <f t="shared" si="36"/>
        <v>73796247.807282567</v>
      </c>
      <c r="AB70" s="22">
        <f t="shared" si="37"/>
        <v>0</v>
      </c>
      <c r="AC70" s="22">
        <f t="shared" si="38"/>
        <v>1506367391.7363405</v>
      </c>
      <c r="AD70" s="22">
        <f t="shared" si="39"/>
        <v>5351398914.8752031</v>
      </c>
      <c r="AE70" s="20">
        <f t="shared" si="14"/>
        <v>73796247.807282567</v>
      </c>
      <c r="AF70" s="15">
        <f t="shared" si="40"/>
        <v>73796247.807282567</v>
      </c>
      <c r="AG70" s="22">
        <f t="shared" si="41"/>
        <v>0</v>
      </c>
      <c r="AH70" s="22">
        <f t="shared" si="42"/>
        <v>1432571143.9290581</v>
      </c>
      <c r="AI70" s="22">
        <f t="shared" si="43"/>
        <v>5351398914.8752031</v>
      </c>
      <c r="AJ70" s="20">
        <f t="shared" si="15"/>
        <v>491974985.3818838</v>
      </c>
      <c r="AK70" s="15">
        <f t="shared" si="44"/>
        <v>491974985.3818838</v>
      </c>
      <c r="AL70" s="22">
        <f t="shared" si="45"/>
        <v>0</v>
      </c>
      <c r="AM70" s="22">
        <f t="shared" si="46"/>
        <v>940596158.54717422</v>
      </c>
      <c r="AN70" s="22">
        <f t="shared" si="47"/>
        <v>5351398914.8752031</v>
      </c>
      <c r="AO70" s="20">
        <f t="shared" si="16"/>
        <v>491974985.3818838</v>
      </c>
      <c r="AP70" s="15">
        <f t="shared" si="48"/>
        <v>491974985.3818838</v>
      </c>
      <c r="AQ70" s="22">
        <f t="shared" si="49"/>
        <v>0</v>
      </c>
      <c r="AR70" s="22">
        <f t="shared" si="50"/>
        <v>448621173.16529042</v>
      </c>
      <c r="AS70" s="22">
        <f t="shared" si="51"/>
        <v>5351398914.8752031</v>
      </c>
      <c r="AT70" s="20">
        <f t="shared" si="17"/>
        <v>688764979.53463733</v>
      </c>
      <c r="AU70" s="15">
        <f t="shared" si="52"/>
        <v>448621173.16529042</v>
      </c>
      <c r="AV70" s="22">
        <f t="shared" si="53"/>
        <v>240143806.36934692</v>
      </c>
      <c r="AW70" s="22">
        <f t="shared" si="54"/>
        <v>0</v>
      </c>
      <c r="AX70" s="22">
        <f t="shared" si="55"/>
        <v>5111255108.5058565</v>
      </c>
      <c r="AY70" s="20">
        <f t="shared" si="56"/>
        <v>354377118.53537196</v>
      </c>
      <c r="AZ70" s="15">
        <f t="shared" si="57"/>
        <v>0</v>
      </c>
      <c r="BA70" s="22">
        <f t="shared" si="58"/>
        <v>354377118.53537196</v>
      </c>
      <c r="BB70" s="22">
        <f t="shared" si="59"/>
        <v>0</v>
      </c>
      <c r="BC70" s="22">
        <f t="shared" si="60"/>
        <v>4756877989.9704847</v>
      </c>
      <c r="BD70" s="20">
        <f t="shared" si="61"/>
        <v>392955710.02731395</v>
      </c>
      <c r="BE70" s="15">
        <f t="shared" si="62"/>
        <v>0</v>
      </c>
      <c r="BF70" s="22">
        <f t="shared" si="63"/>
        <v>392955710.02731395</v>
      </c>
      <c r="BG70" s="22">
        <f t="shared" si="64"/>
        <v>0</v>
      </c>
      <c r="BH70" s="22">
        <f t="shared" si="65"/>
        <v>4363922279.9431705</v>
      </c>
      <c r="BI70" s="20">
        <f t="shared" si="66"/>
        <v>668565874.40961587</v>
      </c>
      <c r="BJ70" s="15">
        <f t="shared" si="67"/>
        <v>0</v>
      </c>
      <c r="BK70" s="22">
        <f t="shared" si="68"/>
        <v>668565874.40961587</v>
      </c>
      <c r="BL70" s="22">
        <f t="shared" si="69"/>
        <v>0</v>
      </c>
      <c r="BM70" s="22">
        <f t="shared" si="70"/>
        <v>3695356405.5335546</v>
      </c>
      <c r="BN70" s="20">
        <f t="shared" si="71"/>
        <v>668565874.40961587</v>
      </c>
      <c r="BO70" s="15">
        <f t="shared" si="72"/>
        <v>0</v>
      </c>
      <c r="BP70" s="22">
        <f t="shared" si="73"/>
        <v>668565874.40961587</v>
      </c>
      <c r="BQ70" s="22">
        <f t="shared" si="74"/>
        <v>0</v>
      </c>
      <c r="BR70" s="22">
        <f t="shared" si="75"/>
        <v>3026790531.1239386</v>
      </c>
      <c r="BS70" s="20">
        <f t="shared" si="76"/>
        <v>235602590.43803921</v>
      </c>
      <c r="BT70" s="15">
        <f t="shared" si="77"/>
        <v>0</v>
      </c>
      <c r="BU70" s="22">
        <f t="shared" si="78"/>
        <v>235602590.43803921</v>
      </c>
      <c r="BV70" s="22">
        <f t="shared" si="79"/>
        <v>0</v>
      </c>
      <c r="BW70" s="22">
        <f t="shared" si="80"/>
        <v>2791187940.6858993</v>
      </c>
    </row>
    <row r="71" spans="1:75" ht="15.75" x14ac:dyDescent="0.2">
      <c r="A71" s="1" t="s">
        <v>16</v>
      </c>
      <c r="B71" s="12" t="s">
        <v>33</v>
      </c>
      <c r="C71" s="14">
        <v>1267042266</v>
      </c>
      <c r="D71" s="14">
        <v>5206926586</v>
      </c>
      <c r="E71" s="27">
        <f t="shared" si="11"/>
        <v>6473968852</v>
      </c>
      <c r="F71" s="20">
        <f t="shared" si="18"/>
        <v>1336152184.3749835</v>
      </c>
      <c r="G71" s="15">
        <f t="shared" si="19"/>
        <v>268980819.12018639</v>
      </c>
      <c r="H71" s="15">
        <f t="shared" si="20"/>
        <v>1067171365.2547972</v>
      </c>
      <c r="I71" s="15">
        <f t="shared" si="21"/>
        <v>998061446.87981367</v>
      </c>
      <c r="J71" s="15">
        <f t="shared" si="22"/>
        <v>4139755220.745203</v>
      </c>
      <c r="K71" s="20">
        <f t="shared" si="23"/>
        <v>1478875426.2177703</v>
      </c>
      <c r="L71" s="15">
        <v>0</v>
      </c>
      <c r="M71" s="22">
        <f t="shared" si="24"/>
        <v>1478875426.2177703</v>
      </c>
      <c r="N71" s="22">
        <f t="shared" si="25"/>
        <v>998061446.87981367</v>
      </c>
      <c r="O71" s="22">
        <f t="shared" si="26"/>
        <v>2660879794.5274324</v>
      </c>
      <c r="P71" s="20">
        <f t="shared" si="27"/>
        <v>101342094.0002376</v>
      </c>
      <c r="Q71" s="15">
        <f t="shared" si="28"/>
        <v>101342094.0002376</v>
      </c>
      <c r="R71" s="22">
        <f t="shared" si="29"/>
        <v>0</v>
      </c>
      <c r="S71" s="22">
        <f t="shared" si="30"/>
        <v>896719352.87957609</v>
      </c>
      <c r="T71" s="22">
        <f t="shared" si="31"/>
        <v>2660879794.5274324</v>
      </c>
      <c r="U71" s="20">
        <f t="shared" si="12"/>
        <v>101342094.0002376</v>
      </c>
      <c r="V71" s="15">
        <f t="shared" si="32"/>
        <v>101342094.0002376</v>
      </c>
      <c r="W71" s="22">
        <f t="shared" si="33"/>
        <v>0</v>
      </c>
      <c r="X71" s="22">
        <f t="shared" si="34"/>
        <v>795377258.8793385</v>
      </c>
      <c r="Y71" s="22">
        <f t="shared" si="35"/>
        <v>2660879794.5274324</v>
      </c>
      <c r="Z71" s="20">
        <f t="shared" si="13"/>
        <v>38003285.250089101</v>
      </c>
      <c r="AA71" s="15">
        <f t="shared" si="36"/>
        <v>38003285.250089101</v>
      </c>
      <c r="AB71" s="22">
        <f t="shared" si="37"/>
        <v>0</v>
      </c>
      <c r="AC71" s="22">
        <f t="shared" si="38"/>
        <v>757373973.62924945</v>
      </c>
      <c r="AD71" s="22">
        <f t="shared" si="39"/>
        <v>2660879794.5274324</v>
      </c>
      <c r="AE71" s="20">
        <f t="shared" si="14"/>
        <v>38003285.250089101</v>
      </c>
      <c r="AF71" s="15">
        <f t="shared" si="40"/>
        <v>38003285.250089101</v>
      </c>
      <c r="AG71" s="22">
        <f t="shared" si="41"/>
        <v>0</v>
      </c>
      <c r="AH71" s="22">
        <f t="shared" si="42"/>
        <v>719370688.3791604</v>
      </c>
      <c r="AI71" s="22">
        <f t="shared" si="43"/>
        <v>2660879794.5274324</v>
      </c>
      <c r="AJ71" s="20">
        <f t="shared" si="15"/>
        <v>253355235.00059399</v>
      </c>
      <c r="AK71" s="15">
        <f t="shared" si="44"/>
        <v>253355235.00059399</v>
      </c>
      <c r="AL71" s="22">
        <f t="shared" si="45"/>
        <v>0</v>
      </c>
      <c r="AM71" s="22">
        <f t="shared" si="46"/>
        <v>466015453.37856638</v>
      </c>
      <c r="AN71" s="22">
        <f t="shared" si="47"/>
        <v>2660879794.5274324</v>
      </c>
      <c r="AO71" s="20">
        <f t="shared" si="16"/>
        <v>253355235.00059399</v>
      </c>
      <c r="AP71" s="15">
        <f t="shared" si="48"/>
        <v>253355235.00059399</v>
      </c>
      <c r="AQ71" s="22">
        <f t="shared" si="49"/>
        <v>0</v>
      </c>
      <c r="AR71" s="22">
        <f t="shared" si="50"/>
        <v>212660218.37797239</v>
      </c>
      <c r="AS71" s="22">
        <f t="shared" si="51"/>
        <v>2660879794.5274324</v>
      </c>
      <c r="AT71" s="20">
        <f t="shared" si="17"/>
        <v>354697329.0008316</v>
      </c>
      <c r="AU71" s="15">
        <f t="shared" si="52"/>
        <v>212660218.37797239</v>
      </c>
      <c r="AV71" s="22">
        <f t="shared" si="53"/>
        <v>142037110.62285921</v>
      </c>
      <c r="AW71" s="22">
        <f t="shared" si="54"/>
        <v>0</v>
      </c>
      <c r="AX71" s="22">
        <f t="shared" si="55"/>
        <v>2518842683.9045734</v>
      </c>
      <c r="AY71" s="20">
        <f t="shared" si="56"/>
        <v>182495656.91977283</v>
      </c>
      <c r="AZ71" s="15">
        <f t="shared" si="57"/>
        <v>0</v>
      </c>
      <c r="BA71" s="22">
        <f t="shared" si="58"/>
        <v>182495656.91977283</v>
      </c>
      <c r="BB71" s="22">
        <f t="shared" si="59"/>
        <v>0</v>
      </c>
      <c r="BC71" s="22">
        <f t="shared" si="60"/>
        <v>2336347026.9848008</v>
      </c>
      <c r="BD71" s="20">
        <f t="shared" si="61"/>
        <v>196283122.83062667</v>
      </c>
      <c r="BE71" s="15">
        <f t="shared" si="62"/>
        <v>0</v>
      </c>
      <c r="BF71" s="22">
        <f t="shared" si="63"/>
        <v>196283122.83062667</v>
      </c>
      <c r="BG71" s="22">
        <f t="shared" si="64"/>
        <v>0</v>
      </c>
      <c r="BH71" s="22">
        <f t="shared" si="65"/>
        <v>2140063904.1541741</v>
      </c>
      <c r="BI71" s="20">
        <f t="shared" si="66"/>
        <v>333951624.31406438</v>
      </c>
      <c r="BJ71" s="15">
        <f t="shared" si="67"/>
        <v>0</v>
      </c>
      <c r="BK71" s="22">
        <f t="shared" si="68"/>
        <v>333951624.31406438</v>
      </c>
      <c r="BL71" s="22">
        <f t="shared" si="69"/>
        <v>0</v>
      </c>
      <c r="BM71" s="22">
        <f t="shared" si="70"/>
        <v>1806112279.8401098</v>
      </c>
      <c r="BN71" s="20">
        <f t="shared" si="71"/>
        <v>333951624.31406438</v>
      </c>
      <c r="BO71" s="15">
        <f t="shared" si="72"/>
        <v>0</v>
      </c>
      <c r="BP71" s="22">
        <f t="shared" si="73"/>
        <v>333951624.31406438</v>
      </c>
      <c r="BQ71" s="22">
        <f t="shared" si="74"/>
        <v>0</v>
      </c>
      <c r="BR71" s="22">
        <f t="shared" si="75"/>
        <v>1472160655.5260453</v>
      </c>
      <c r="BS71" s="20">
        <f t="shared" si="76"/>
        <v>117684540.56806824</v>
      </c>
      <c r="BT71" s="15">
        <f t="shared" si="77"/>
        <v>0</v>
      </c>
      <c r="BU71" s="22">
        <f t="shared" si="78"/>
        <v>117684540.56806824</v>
      </c>
      <c r="BV71" s="22">
        <f t="shared" si="79"/>
        <v>0</v>
      </c>
      <c r="BW71" s="22">
        <f t="shared" si="80"/>
        <v>1354476114.9579771</v>
      </c>
    </row>
    <row r="72" spans="1:75" ht="15.75" x14ac:dyDescent="0.2">
      <c r="A72" s="1" t="s">
        <v>17</v>
      </c>
      <c r="B72" s="12" t="s">
        <v>34</v>
      </c>
      <c r="C72" s="14">
        <v>766226980</v>
      </c>
      <c r="D72" s="14">
        <v>2296273020</v>
      </c>
      <c r="E72" s="27">
        <f t="shared" si="11"/>
        <v>3062500000</v>
      </c>
      <c r="F72" s="20">
        <f t="shared" si="18"/>
        <v>632064527.6790694</v>
      </c>
      <c r="G72" s="15">
        <f t="shared" si="19"/>
        <v>127240920.89214934</v>
      </c>
      <c r="H72" s="15">
        <f t="shared" si="20"/>
        <v>504823606.78692007</v>
      </c>
      <c r="I72" s="15">
        <f t="shared" si="21"/>
        <v>638986059.10785067</v>
      </c>
      <c r="J72" s="15">
        <f t="shared" si="22"/>
        <v>1791449413.2130799</v>
      </c>
      <c r="K72" s="20">
        <f t="shared" si="23"/>
        <v>699579515.49191701</v>
      </c>
      <c r="L72" s="15">
        <v>0</v>
      </c>
      <c r="M72" s="22">
        <f t="shared" si="24"/>
        <v>699579515.49191701</v>
      </c>
      <c r="N72" s="22">
        <f t="shared" si="25"/>
        <v>638986059.10785067</v>
      </c>
      <c r="O72" s="22">
        <f t="shared" si="26"/>
        <v>1091869897.7211628</v>
      </c>
      <c r="P72" s="20">
        <f t="shared" si="27"/>
        <v>59068249.155918308</v>
      </c>
      <c r="Q72" s="15">
        <f t="shared" si="28"/>
        <v>59068249.155918308</v>
      </c>
      <c r="R72" s="22">
        <f t="shared" si="29"/>
        <v>0</v>
      </c>
      <c r="S72" s="22">
        <f t="shared" si="30"/>
        <v>579917809.95193231</v>
      </c>
      <c r="T72" s="22">
        <f t="shared" si="31"/>
        <v>1091869897.7211628</v>
      </c>
      <c r="U72" s="20">
        <f t="shared" si="12"/>
        <v>59068249.155918308</v>
      </c>
      <c r="V72" s="15">
        <f t="shared" si="32"/>
        <v>59068249.155918308</v>
      </c>
      <c r="W72" s="22">
        <f t="shared" si="33"/>
        <v>0</v>
      </c>
      <c r="X72" s="22">
        <f t="shared" si="34"/>
        <v>520849560.79601401</v>
      </c>
      <c r="Y72" s="22">
        <f t="shared" si="35"/>
        <v>1091869897.7211628</v>
      </c>
      <c r="Z72" s="20">
        <f t="shared" si="13"/>
        <v>22150593.433469366</v>
      </c>
      <c r="AA72" s="15">
        <f t="shared" si="36"/>
        <v>22150593.433469366</v>
      </c>
      <c r="AB72" s="22">
        <f t="shared" si="37"/>
        <v>0</v>
      </c>
      <c r="AC72" s="22">
        <f t="shared" si="38"/>
        <v>498698967.36254466</v>
      </c>
      <c r="AD72" s="22">
        <f t="shared" si="39"/>
        <v>1091869897.7211628</v>
      </c>
      <c r="AE72" s="20">
        <f t="shared" si="14"/>
        <v>22150593.433469366</v>
      </c>
      <c r="AF72" s="15">
        <f t="shared" si="40"/>
        <v>22150593.433469366</v>
      </c>
      <c r="AG72" s="22">
        <f t="shared" si="41"/>
        <v>0</v>
      </c>
      <c r="AH72" s="22">
        <f t="shared" si="42"/>
        <v>476548373.9290753</v>
      </c>
      <c r="AI72" s="22">
        <f t="shared" si="43"/>
        <v>1091869897.7211628</v>
      </c>
      <c r="AJ72" s="20">
        <f t="shared" si="15"/>
        <v>147670622.88979578</v>
      </c>
      <c r="AK72" s="15">
        <f t="shared" si="44"/>
        <v>147670622.88979578</v>
      </c>
      <c r="AL72" s="22">
        <f t="shared" si="45"/>
        <v>0</v>
      </c>
      <c r="AM72" s="22">
        <f t="shared" si="46"/>
        <v>328877751.03927952</v>
      </c>
      <c r="AN72" s="22">
        <f t="shared" si="47"/>
        <v>1091869897.7211628</v>
      </c>
      <c r="AO72" s="20">
        <f t="shared" si="16"/>
        <v>147670622.88979578</v>
      </c>
      <c r="AP72" s="15">
        <f t="shared" si="48"/>
        <v>147670622.88979578</v>
      </c>
      <c r="AQ72" s="22">
        <f t="shared" si="49"/>
        <v>0</v>
      </c>
      <c r="AR72" s="22">
        <f t="shared" si="50"/>
        <v>181207128.14948374</v>
      </c>
      <c r="AS72" s="22">
        <f t="shared" si="51"/>
        <v>1091869897.7211628</v>
      </c>
      <c r="AT72" s="20">
        <f t="shared" si="17"/>
        <v>206738872.04571408</v>
      </c>
      <c r="AU72" s="15">
        <f t="shared" si="52"/>
        <v>181207128.14948374</v>
      </c>
      <c r="AV72" s="22">
        <f t="shared" si="53"/>
        <v>25531743.89623034</v>
      </c>
      <c r="AW72" s="22">
        <f t="shared" si="54"/>
        <v>0</v>
      </c>
      <c r="AX72" s="22">
        <f t="shared" si="55"/>
        <v>1066338153.8249325</v>
      </c>
      <c r="AY72" s="20">
        <f t="shared" si="56"/>
        <v>106369411.83379194</v>
      </c>
      <c r="AZ72" s="15">
        <f t="shared" si="57"/>
        <v>0</v>
      </c>
      <c r="BA72" s="22">
        <f t="shared" si="58"/>
        <v>106369411.83379194</v>
      </c>
      <c r="BB72" s="22">
        <f t="shared" si="59"/>
        <v>0</v>
      </c>
      <c r="BC72" s="22">
        <f t="shared" si="60"/>
        <v>959968741.99114048</v>
      </c>
      <c r="BD72" s="20">
        <f t="shared" si="61"/>
        <v>92851398.795823902</v>
      </c>
      <c r="BE72" s="15">
        <f t="shared" si="62"/>
        <v>0</v>
      </c>
      <c r="BF72" s="22">
        <f t="shared" si="63"/>
        <v>92851398.795823902</v>
      </c>
      <c r="BG72" s="22">
        <f t="shared" si="64"/>
        <v>0</v>
      </c>
      <c r="BH72" s="22">
        <f t="shared" si="65"/>
        <v>867117343.19531655</v>
      </c>
      <c r="BI72" s="20">
        <f t="shared" si="66"/>
        <v>157975250.24326795</v>
      </c>
      <c r="BJ72" s="15">
        <f t="shared" si="67"/>
        <v>0</v>
      </c>
      <c r="BK72" s="22">
        <f t="shared" si="68"/>
        <v>157975250.24326795</v>
      </c>
      <c r="BL72" s="22">
        <f t="shared" si="69"/>
        <v>0</v>
      </c>
      <c r="BM72" s="22">
        <f t="shared" si="70"/>
        <v>709142092.95204854</v>
      </c>
      <c r="BN72" s="20">
        <f t="shared" si="71"/>
        <v>157975250.24326795</v>
      </c>
      <c r="BO72" s="15">
        <f t="shared" si="72"/>
        <v>0</v>
      </c>
      <c r="BP72" s="22">
        <f t="shared" si="73"/>
        <v>157975250.24326795</v>
      </c>
      <c r="BQ72" s="22">
        <f t="shared" si="74"/>
        <v>0</v>
      </c>
      <c r="BR72" s="22">
        <f t="shared" si="75"/>
        <v>551166842.70878053</v>
      </c>
      <c r="BS72" s="20">
        <f t="shared" si="76"/>
        <v>55670472.584737264</v>
      </c>
      <c r="BT72" s="15">
        <f t="shared" si="77"/>
        <v>0</v>
      </c>
      <c r="BU72" s="22">
        <f t="shared" si="78"/>
        <v>55670472.584737264</v>
      </c>
      <c r="BV72" s="22">
        <f t="shared" si="79"/>
        <v>0</v>
      </c>
      <c r="BW72" s="22">
        <f t="shared" si="80"/>
        <v>495496370.12404329</v>
      </c>
    </row>
    <row r="73" spans="1:75" ht="15.75" x14ac:dyDescent="0.2">
      <c r="A73" s="1" t="s">
        <v>11</v>
      </c>
      <c r="B73" s="12" t="s">
        <v>35</v>
      </c>
      <c r="C73" s="14">
        <v>109227782</v>
      </c>
      <c r="D73" s="14">
        <v>447215788</v>
      </c>
      <c r="E73" s="27">
        <f t="shared" si="11"/>
        <v>556443570</v>
      </c>
      <c r="F73" s="20">
        <f t="shared" si="18"/>
        <v>114843507.88054562</v>
      </c>
      <c r="G73" s="15">
        <f t="shared" si="19"/>
        <v>23119148.538304109</v>
      </c>
      <c r="H73" s="15">
        <f t="shared" si="20"/>
        <v>91724359.342241511</v>
      </c>
      <c r="I73" s="15">
        <f t="shared" si="21"/>
        <v>86108633.461695895</v>
      </c>
      <c r="J73" s="15">
        <f t="shared" si="22"/>
        <v>355491428.65775847</v>
      </c>
      <c r="K73" s="20">
        <f t="shared" si="23"/>
        <v>127110701.64857911</v>
      </c>
      <c r="L73" s="15">
        <v>0</v>
      </c>
      <c r="M73" s="22">
        <f t="shared" si="24"/>
        <v>127110701.64857911</v>
      </c>
      <c r="N73" s="22">
        <f t="shared" si="25"/>
        <v>86108633.461695895</v>
      </c>
      <c r="O73" s="22">
        <f t="shared" si="26"/>
        <v>228380727.00917935</v>
      </c>
      <c r="P73" s="20">
        <f t="shared" si="27"/>
        <v>8791601.308418503</v>
      </c>
      <c r="Q73" s="15">
        <f t="shared" si="28"/>
        <v>8791601.308418503</v>
      </c>
      <c r="R73" s="22">
        <f t="shared" si="29"/>
        <v>0</v>
      </c>
      <c r="S73" s="22">
        <f t="shared" si="30"/>
        <v>77317032.153277397</v>
      </c>
      <c r="T73" s="22">
        <f t="shared" si="31"/>
        <v>228380727.00917935</v>
      </c>
      <c r="U73" s="20">
        <f t="shared" si="12"/>
        <v>8791601.308418503</v>
      </c>
      <c r="V73" s="15">
        <f t="shared" si="32"/>
        <v>8791601.308418503</v>
      </c>
      <c r="W73" s="22">
        <f t="shared" si="33"/>
        <v>0</v>
      </c>
      <c r="X73" s="22">
        <f t="shared" si="34"/>
        <v>68525430.8448589</v>
      </c>
      <c r="Y73" s="22">
        <f t="shared" si="35"/>
        <v>228380727.00917935</v>
      </c>
      <c r="Z73" s="20">
        <f t="shared" si="13"/>
        <v>3296850.4906569384</v>
      </c>
      <c r="AA73" s="15">
        <f t="shared" si="36"/>
        <v>3296850.4906569384</v>
      </c>
      <c r="AB73" s="22">
        <f t="shared" si="37"/>
        <v>0</v>
      </c>
      <c r="AC73" s="22">
        <f t="shared" si="38"/>
        <v>65228580.354201958</v>
      </c>
      <c r="AD73" s="22">
        <f t="shared" si="39"/>
        <v>228380727.00917935</v>
      </c>
      <c r="AE73" s="20">
        <f t="shared" si="14"/>
        <v>3296850.4906569384</v>
      </c>
      <c r="AF73" s="15">
        <f t="shared" si="40"/>
        <v>3296850.4906569384</v>
      </c>
      <c r="AG73" s="22">
        <f t="shared" si="41"/>
        <v>0</v>
      </c>
      <c r="AH73" s="22">
        <f t="shared" si="42"/>
        <v>61931729.863545015</v>
      </c>
      <c r="AI73" s="22">
        <f t="shared" si="43"/>
        <v>228380727.00917935</v>
      </c>
      <c r="AJ73" s="20">
        <f t="shared" si="15"/>
        <v>21979003.271046255</v>
      </c>
      <c r="AK73" s="15">
        <f t="shared" si="44"/>
        <v>21979003.271046255</v>
      </c>
      <c r="AL73" s="22">
        <f t="shared" si="45"/>
        <v>0</v>
      </c>
      <c r="AM73" s="22">
        <f t="shared" si="46"/>
        <v>39952726.592498764</v>
      </c>
      <c r="AN73" s="22">
        <f t="shared" si="47"/>
        <v>228380727.00917935</v>
      </c>
      <c r="AO73" s="20">
        <f t="shared" si="16"/>
        <v>21979003.271046255</v>
      </c>
      <c r="AP73" s="15">
        <f t="shared" si="48"/>
        <v>21979003.271046255</v>
      </c>
      <c r="AQ73" s="22">
        <f t="shared" si="49"/>
        <v>0</v>
      </c>
      <c r="AR73" s="22">
        <f t="shared" si="50"/>
        <v>17973723.32145251</v>
      </c>
      <c r="AS73" s="22">
        <f t="shared" si="51"/>
        <v>228380727.00917935</v>
      </c>
      <c r="AT73" s="20">
        <f t="shared" si="17"/>
        <v>30770604.579464756</v>
      </c>
      <c r="AU73" s="15">
        <f t="shared" si="52"/>
        <v>17973723.32145251</v>
      </c>
      <c r="AV73" s="22">
        <f t="shared" si="53"/>
        <v>12796881.258012246</v>
      </c>
      <c r="AW73" s="22">
        <f t="shared" si="54"/>
        <v>0</v>
      </c>
      <c r="AX73" s="22">
        <f t="shared" si="55"/>
        <v>215583845.75116712</v>
      </c>
      <c r="AY73" s="20">
        <f t="shared" si="56"/>
        <v>15831812.752485726</v>
      </c>
      <c r="AZ73" s="15">
        <f t="shared" si="57"/>
        <v>0</v>
      </c>
      <c r="BA73" s="22">
        <f t="shared" si="58"/>
        <v>15831812.752485726</v>
      </c>
      <c r="BB73" s="22">
        <f t="shared" si="59"/>
        <v>0</v>
      </c>
      <c r="BC73" s="22">
        <f t="shared" si="60"/>
        <v>199752032.9986814</v>
      </c>
      <c r="BD73" s="20">
        <f t="shared" si="61"/>
        <v>16870714.748830542</v>
      </c>
      <c r="BE73" s="15">
        <f t="shared" si="62"/>
        <v>0</v>
      </c>
      <c r="BF73" s="22">
        <f t="shared" si="63"/>
        <v>16870714.748830542</v>
      </c>
      <c r="BG73" s="22">
        <f t="shared" si="64"/>
        <v>0</v>
      </c>
      <c r="BH73" s="22">
        <f t="shared" si="65"/>
        <v>182881318.24985087</v>
      </c>
      <c r="BI73" s="20">
        <f t="shared" si="66"/>
        <v>28703448.938769944</v>
      </c>
      <c r="BJ73" s="15">
        <f t="shared" si="67"/>
        <v>0</v>
      </c>
      <c r="BK73" s="22">
        <f t="shared" si="68"/>
        <v>28703448.938769944</v>
      </c>
      <c r="BL73" s="22">
        <f t="shared" si="69"/>
        <v>0</v>
      </c>
      <c r="BM73" s="22">
        <f t="shared" si="70"/>
        <v>154177869.31108093</v>
      </c>
      <c r="BN73" s="20">
        <f t="shared" si="71"/>
        <v>28703448.938769944</v>
      </c>
      <c r="BO73" s="15">
        <f t="shared" si="72"/>
        <v>0</v>
      </c>
      <c r="BP73" s="22">
        <f t="shared" si="73"/>
        <v>28703448.938769944</v>
      </c>
      <c r="BQ73" s="22">
        <f t="shared" si="74"/>
        <v>0</v>
      </c>
      <c r="BR73" s="22">
        <f t="shared" si="75"/>
        <v>125474420.372311</v>
      </c>
      <c r="BS73" s="20">
        <f t="shared" si="76"/>
        <v>10115094.388345767</v>
      </c>
      <c r="BT73" s="15">
        <f t="shared" si="77"/>
        <v>0</v>
      </c>
      <c r="BU73" s="22">
        <f t="shared" si="78"/>
        <v>10115094.388345767</v>
      </c>
      <c r="BV73" s="22">
        <f t="shared" si="79"/>
        <v>0</v>
      </c>
      <c r="BW73" s="22">
        <f t="shared" si="80"/>
        <v>115359325.98396523</v>
      </c>
    </row>
    <row r="74" spans="1:75" ht="15.75" x14ac:dyDescent="0.2">
      <c r="A74" s="16"/>
      <c r="B74" s="17"/>
      <c r="C74" s="19">
        <f>SUM(C64:C73)</f>
        <v>25397382494</v>
      </c>
      <c r="D74" s="19">
        <f>SUM(D64:D73)</f>
        <v>86838201858.669998</v>
      </c>
      <c r="E74" s="19">
        <f>SUM(E64:E73)</f>
        <v>112235584352.67</v>
      </c>
      <c r="F74" s="21">
        <f>SUM(F64:F73)</f>
        <v>23133985186.999989</v>
      </c>
      <c r="G74" s="19">
        <f t="shared" ref="G74:BH74" si="81">SUM(G64:G73)</f>
        <v>4657102954.1999969</v>
      </c>
      <c r="H74" s="19">
        <f t="shared" si="81"/>
        <v>18476882232.799992</v>
      </c>
      <c r="I74" s="19">
        <f t="shared" si="81"/>
        <v>20740279539.800003</v>
      </c>
      <c r="J74" s="19">
        <f t="shared" si="81"/>
        <v>68361319625.870018</v>
      </c>
      <c r="K74" s="21">
        <f t="shared" si="81"/>
        <v>25605078974.999981</v>
      </c>
      <c r="L74" s="19">
        <f t="shared" si="81"/>
        <v>0</v>
      </c>
      <c r="M74" s="19">
        <f t="shared" si="81"/>
        <v>25605078974.999981</v>
      </c>
      <c r="N74" s="19">
        <f t="shared" si="81"/>
        <v>20740279539.800003</v>
      </c>
      <c r="O74" s="19">
        <f t="shared" si="81"/>
        <v>42756240650.870026</v>
      </c>
      <c r="P74" s="21">
        <f t="shared" si="81"/>
        <v>2000000000</v>
      </c>
      <c r="Q74" s="19">
        <f t="shared" ref="Q74:T74" si="82">SUM(Q64:Q73)</f>
        <v>2000000000</v>
      </c>
      <c r="R74" s="19">
        <f t="shared" si="82"/>
        <v>0</v>
      </c>
      <c r="S74" s="19">
        <f t="shared" si="82"/>
        <v>18740279539.800003</v>
      </c>
      <c r="T74" s="19">
        <f t="shared" si="82"/>
        <v>42756240650.870026</v>
      </c>
      <c r="U74" s="21">
        <f t="shared" si="81"/>
        <v>2000000000</v>
      </c>
      <c r="V74" s="19">
        <f t="shared" si="81"/>
        <v>2000000000</v>
      </c>
      <c r="W74" s="19">
        <f t="shared" si="81"/>
        <v>0</v>
      </c>
      <c r="X74" s="19">
        <f t="shared" si="81"/>
        <v>16740279539.800003</v>
      </c>
      <c r="Y74" s="19">
        <f t="shared" si="81"/>
        <v>42756240650.870026</v>
      </c>
      <c r="Z74" s="21">
        <f t="shared" si="81"/>
        <v>749999999.99999988</v>
      </c>
      <c r="AA74" s="19">
        <f t="shared" ref="AA74:AD74" si="83">SUM(AA64:AA73)</f>
        <v>749999999.99999988</v>
      </c>
      <c r="AB74" s="19">
        <f t="shared" si="83"/>
        <v>0</v>
      </c>
      <c r="AC74" s="19">
        <f t="shared" si="83"/>
        <v>15990279539.800003</v>
      </c>
      <c r="AD74" s="19">
        <f t="shared" si="83"/>
        <v>42756240650.870026</v>
      </c>
      <c r="AE74" s="21">
        <f t="shared" si="81"/>
        <v>749999999.99999988</v>
      </c>
      <c r="AF74" s="19">
        <f t="shared" si="81"/>
        <v>749999999.99999988</v>
      </c>
      <c r="AG74" s="19">
        <f t="shared" si="81"/>
        <v>0</v>
      </c>
      <c r="AH74" s="19">
        <f t="shared" si="81"/>
        <v>15240279539.800003</v>
      </c>
      <c r="AI74" s="19">
        <f t="shared" si="81"/>
        <v>42756240650.870026</v>
      </c>
      <c r="AJ74" s="21">
        <f t="shared" si="81"/>
        <v>5000000000.000001</v>
      </c>
      <c r="AK74" s="19">
        <f t="shared" ref="AK74:AN74" si="84">SUM(AK64:AK73)</f>
        <v>5000000000.000001</v>
      </c>
      <c r="AL74" s="19">
        <f t="shared" si="84"/>
        <v>0</v>
      </c>
      <c r="AM74" s="19">
        <f t="shared" si="84"/>
        <v>10240279539.800003</v>
      </c>
      <c r="AN74" s="19">
        <f t="shared" si="84"/>
        <v>42756240650.870026</v>
      </c>
      <c r="AO74" s="21">
        <f t="shared" si="81"/>
        <v>5000000000.000001</v>
      </c>
      <c r="AP74" s="19">
        <f t="shared" si="81"/>
        <v>5000000000.000001</v>
      </c>
      <c r="AQ74" s="19">
        <f t="shared" si="81"/>
        <v>0</v>
      </c>
      <c r="AR74" s="19">
        <f t="shared" si="81"/>
        <v>5240279539.800005</v>
      </c>
      <c r="AS74" s="19">
        <f t="shared" si="81"/>
        <v>42756240650.870026</v>
      </c>
      <c r="AT74" s="21">
        <f t="shared" si="81"/>
        <v>6999999999.999999</v>
      </c>
      <c r="AU74" s="19">
        <f t="shared" ref="AU74:BC74" si="85">SUM(AU64:AU73)</f>
        <v>5240279539.800005</v>
      </c>
      <c r="AV74" s="19">
        <f t="shared" si="85"/>
        <v>1759720460.1999941</v>
      </c>
      <c r="AW74" s="19">
        <f t="shared" si="85"/>
        <v>0</v>
      </c>
      <c r="AX74" s="19">
        <f t="shared" si="85"/>
        <v>40996520190.670036</v>
      </c>
      <c r="AY74" s="21">
        <f t="shared" si="85"/>
        <v>3601576594.9999995</v>
      </c>
      <c r="AZ74" s="19">
        <f t="shared" si="85"/>
        <v>0</v>
      </c>
      <c r="BA74" s="19">
        <f t="shared" si="85"/>
        <v>3601576594.9999995</v>
      </c>
      <c r="BB74" s="19">
        <f t="shared" si="85"/>
        <v>0</v>
      </c>
      <c r="BC74" s="19">
        <f t="shared" si="85"/>
        <v>37394943595.670036</v>
      </c>
      <c r="BD74" s="21">
        <f t="shared" si="81"/>
        <v>3398423404.9999976</v>
      </c>
      <c r="BE74" s="19">
        <f t="shared" si="81"/>
        <v>0</v>
      </c>
      <c r="BF74" s="19">
        <f t="shared" si="81"/>
        <v>3398423404.9999976</v>
      </c>
      <c r="BG74" s="19">
        <f t="shared" si="81"/>
        <v>0</v>
      </c>
      <c r="BH74" s="19">
        <f t="shared" si="81"/>
        <v>33996520190.670036</v>
      </c>
      <c r="BI74" s="21">
        <f t="shared" ref="BI74:BM74" si="86">SUM(BI64:BI73)</f>
        <v>5781999999.9999962</v>
      </c>
      <c r="BJ74" s="19">
        <f t="shared" si="86"/>
        <v>0</v>
      </c>
      <c r="BK74" s="19">
        <f t="shared" si="86"/>
        <v>5781999999.9999962</v>
      </c>
      <c r="BL74" s="19">
        <f t="shared" si="86"/>
        <v>0</v>
      </c>
      <c r="BM74" s="19">
        <f t="shared" si="86"/>
        <v>28214520190.670036</v>
      </c>
      <c r="BN74" s="21">
        <f t="shared" ref="BN74:BR74" si="87">SUM(BN64:BN73)</f>
        <v>5781999999.9999962</v>
      </c>
      <c r="BO74" s="19">
        <f t="shared" si="87"/>
        <v>0</v>
      </c>
      <c r="BP74" s="19">
        <f t="shared" si="87"/>
        <v>5781999999.9999962</v>
      </c>
      <c r="BQ74" s="19">
        <f t="shared" si="87"/>
        <v>0</v>
      </c>
      <c r="BR74" s="19">
        <f t="shared" si="87"/>
        <v>22432520190.670044</v>
      </c>
      <c r="BS74" s="21">
        <f t="shared" ref="BS74:BW74" si="88">SUM(BS64:BS73)</f>
        <v>2037576594.999999</v>
      </c>
      <c r="BT74" s="19">
        <f t="shared" si="88"/>
        <v>0</v>
      </c>
      <c r="BU74" s="19">
        <f t="shared" si="88"/>
        <v>2037576594.999999</v>
      </c>
      <c r="BV74" s="19">
        <f t="shared" si="88"/>
        <v>0</v>
      </c>
      <c r="BW74" s="19">
        <f t="shared" si="88"/>
        <v>20394943595.670044</v>
      </c>
    </row>
    <row r="75" spans="1:75" x14ac:dyDescent="0.2">
      <c r="C75" s="5"/>
      <c r="D75" s="5"/>
      <c r="E75" s="8">
        <f>+E74-C16</f>
        <v>20394943595.669998</v>
      </c>
      <c r="AU75" s="44"/>
    </row>
    <row r="76" spans="1:75" ht="35.25" customHeight="1" x14ac:dyDescent="0.2">
      <c r="P76" s="8"/>
      <c r="AU76" s="2" t="s">
        <v>65</v>
      </c>
    </row>
  </sheetData>
  <mergeCells count="7">
    <mergeCell ref="A1:C1"/>
    <mergeCell ref="A48:H48"/>
    <mergeCell ref="A60:B60"/>
    <mergeCell ref="A19:H19"/>
    <mergeCell ref="A31:B31"/>
    <mergeCell ref="A33:H33"/>
    <mergeCell ref="A45:B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showGridLines="0" zoomScaleNormal="100" zoomScaleSheetLayoutView="90" workbookViewId="0">
      <selection activeCell="D4" sqref="D4"/>
    </sheetView>
  </sheetViews>
  <sheetFormatPr baseColWidth="10" defaultRowHeight="12.75" x14ac:dyDescent="0.2"/>
  <cols>
    <col min="1" max="1" width="10" bestFit="1" customWidth="1"/>
    <col min="2" max="2" width="34.42578125" bestFit="1" customWidth="1"/>
    <col min="3" max="3" width="28.140625" bestFit="1" customWidth="1"/>
    <col min="4" max="4" width="7.7109375" style="46" bestFit="1" customWidth="1"/>
    <col min="5" max="5" width="18.140625" bestFit="1" customWidth="1"/>
    <col min="6" max="6" width="14.85546875" style="5" bestFit="1" customWidth="1"/>
    <col min="7" max="7" width="14.85546875" style="5" customWidth="1"/>
    <col min="8" max="9" width="13.85546875" style="5" bestFit="1" customWidth="1"/>
    <col min="10" max="11" width="12.28515625" style="5" bestFit="1" customWidth="1"/>
    <col min="12" max="14" width="13.85546875" style="5" bestFit="1" customWidth="1"/>
    <col min="15" max="23" width="13.85546875" bestFit="1" customWidth="1"/>
  </cols>
  <sheetData>
    <row r="1" spans="1:23" s="48" customFormat="1" ht="26.25" x14ac:dyDescent="0.4">
      <c r="A1" s="117" t="s">
        <v>133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23" s="48" customFormat="1" ht="26.25" x14ac:dyDescent="0.4">
      <c r="A2" s="117" t="s">
        <v>78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23" s="48" customFormat="1" ht="26.25" x14ac:dyDescent="0.4">
      <c r="A3" s="49"/>
      <c r="B3" s="49"/>
      <c r="C3" s="49"/>
      <c r="D3" s="63"/>
      <c r="E3" s="49"/>
      <c r="F3" s="49"/>
      <c r="G3" s="50"/>
    </row>
    <row r="4" spans="1:23" s="45" customFormat="1" ht="25.5" x14ac:dyDescent="0.2">
      <c r="A4" s="96" t="s">
        <v>74</v>
      </c>
      <c r="B4" s="51" t="s">
        <v>0</v>
      </c>
      <c r="C4" s="51" t="s">
        <v>24</v>
      </c>
      <c r="D4" s="106" t="s">
        <v>107</v>
      </c>
      <c r="E4" s="52" t="s">
        <v>75</v>
      </c>
      <c r="F4" s="53" t="s">
        <v>76</v>
      </c>
      <c r="G4" s="53" t="s">
        <v>77</v>
      </c>
      <c r="H4" s="54">
        <v>45107</v>
      </c>
      <c r="I4" s="54">
        <v>45290</v>
      </c>
      <c r="J4" s="54">
        <v>45473</v>
      </c>
      <c r="K4" s="54">
        <v>45656</v>
      </c>
      <c r="L4" s="54">
        <v>45838</v>
      </c>
      <c r="M4" s="54">
        <v>46021</v>
      </c>
      <c r="N4" s="54">
        <v>46203</v>
      </c>
      <c r="O4" s="55">
        <v>46386</v>
      </c>
      <c r="P4" s="55">
        <v>46386</v>
      </c>
      <c r="Q4" s="55">
        <v>46568</v>
      </c>
      <c r="R4" s="55">
        <v>46751</v>
      </c>
      <c r="S4" s="55">
        <v>46934</v>
      </c>
      <c r="T4" s="55">
        <v>47664</v>
      </c>
      <c r="U4" s="55">
        <v>47847</v>
      </c>
      <c r="V4" s="55">
        <v>48029</v>
      </c>
      <c r="W4" s="55">
        <v>48212</v>
      </c>
    </row>
    <row r="5" spans="1:23" s="7" customFormat="1" x14ac:dyDescent="0.2">
      <c r="A5" s="97" t="s">
        <v>12</v>
      </c>
      <c r="B5" s="56" t="s">
        <v>2</v>
      </c>
      <c r="C5" s="29" t="s">
        <v>21</v>
      </c>
      <c r="D5" s="29" t="s">
        <v>108</v>
      </c>
      <c r="E5" s="57">
        <v>4143301447</v>
      </c>
      <c r="F5" s="58">
        <v>681101895.11721718</v>
      </c>
      <c r="G5" s="58">
        <v>0</v>
      </c>
      <c r="H5" s="58">
        <v>324972615.50477993</v>
      </c>
      <c r="I5" s="31">
        <v>324972615.50477993</v>
      </c>
      <c r="J5" s="58">
        <v>121864730.81429249</v>
      </c>
      <c r="K5" s="31">
        <v>121864730.81429249</v>
      </c>
      <c r="L5" s="58">
        <v>812431538.7619499</v>
      </c>
      <c r="M5" s="31">
        <v>812431538.7619499</v>
      </c>
      <c r="N5" s="58">
        <v>943661781.72073853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</row>
    <row r="6" spans="1:23" s="7" customFormat="1" x14ac:dyDescent="0.2">
      <c r="A6" s="97" t="s">
        <v>13</v>
      </c>
      <c r="B6" s="56" t="s">
        <v>4</v>
      </c>
      <c r="C6" s="29" t="s">
        <v>21</v>
      </c>
      <c r="D6" s="29" t="s">
        <v>108</v>
      </c>
      <c r="E6" s="57">
        <v>3093286697</v>
      </c>
      <c r="F6" s="58">
        <v>507661816.78811336</v>
      </c>
      <c r="G6" s="58">
        <v>0</v>
      </c>
      <c r="H6" s="58">
        <v>243283780.42701474</v>
      </c>
      <c r="I6" s="31">
        <v>243283780.42701474</v>
      </c>
      <c r="J6" s="58">
        <v>91231417.660130531</v>
      </c>
      <c r="K6" s="31">
        <v>91231417.660130531</v>
      </c>
      <c r="L6" s="58">
        <v>608209451.06753683</v>
      </c>
      <c r="M6" s="31">
        <v>608209451.06753683</v>
      </c>
      <c r="N6" s="58">
        <v>700175581.90252209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</row>
    <row r="7" spans="1:23" s="7" customFormat="1" x14ac:dyDescent="0.2">
      <c r="A7" s="97" t="s">
        <v>20</v>
      </c>
      <c r="B7" s="56" t="s">
        <v>7</v>
      </c>
      <c r="C7" s="29" t="s">
        <v>21</v>
      </c>
      <c r="D7" s="29" t="s">
        <v>108</v>
      </c>
      <c r="E7" s="57">
        <v>1638416724</v>
      </c>
      <c r="F7" s="58">
        <v>347121001.63867009</v>
      </c>
      <c r="G7" s="58">
        <v>0</v>
      </c>
      <c r="H7" s="58">
        <v>131606363.51731086</v>
      </c>
      <c r="I7" s="31">
        <v>131606363.51731086</v>
      </c>
      <c r="J7" s="58">
        <v>49352386.318991572</v>
      </c>
      <c r="K7" s="31">
        <v>49352386.318991572</v>
      </c>
      <c r="L7" s="58">
        <v>329015908.79327714</v>
      </c>
      <c r="M7" s="31">
        <v>329015908.79327714</v>
      </c>
      <c r="N7" s="58">
        <v>271346405.10217094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</row>
    <row r="8" spans="1:23" s="7" customFormat="1" x14ac:dyDescent="0.2">
      <c r="A8" s="97" t="s">
        <v>14</v>
      </c>
      <c r="B8" s="56" t="s">
        <v>5</v>
      </c>
      <c r="C8" s="29" t="s">
        <v>21</v>
      </c>
      <c r="D8" s="29" t="s">
        <v>108</v>
      </c>
      <c r="E8" s="57">
        <v>3064907920</v>
      </c>
      <c r="F8" s="58">
        <v>503150304.36348867</v>
      </c>
      <c r="G8" s="58">
        <v>0</v>
      </c>
      <c r="H8" s="58">
        <v>240934792.25741291</v>
      </c>
      <c r="I8" s="31">
        <v>240934792.25741291</v>
      </c>
      <c r="J8" s="58">
        <v>90350547.096529841</v>
      </c>
      <c r="K8" s="31">
        <v>90350547.096529841</v>
      </c>
      <c r="L8" s="58">
        <v>602336980.64353228</v>
      </c>
      <c r="M8" s="31">
        <v>602336980.64353228</v>
      </c>
      <c r="N8" s="58">
        <v>694512975.64156103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</row>
    <row r="9" spans="1:23" s="7" customFormat="1" x14ac:dyDescent="0.2">
      <c r="A9" s="97" t="s">
        <v>15</v>
      </c>
      <c r="B9" s="56" t="s">
        <v>1</v>
      </c>
      <c r="C9" s="29" t="s">
        <v>21</v>
      </c>
      <c r="D9" s="29" t="s">
        <v>108</v>
      </c>
      <c r="E9" s="57">
        <v>4455467994</v>
      </c>
      <c r="F9" s="58">
        <v>734200033.6799612</v>
      </c>
      <c r="G9" s="58">
        <v>0</v>
      </c>
      <c r="H9" s="58">
        <v>348027658.99024224</v>
      </c>
      <c r="I9" s="31">
        <v>348027658.99024224</v>
      </c>
      <c r="J9" s="58">
        <v>130510372.12134084</v>
      </c>
      <c r="K9" s="31">
        <v>130510372.12134084</v>
      </c>
      <c r="L9" s="58">
        <v>870069147.47560561</v>
      </c>
      <c r="M9" s="31">
        <v>870069147.47560561</v>
      </c>
      <c r="N9" s="58">
        <v>1024053603.1456622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</row>
    <row r="10" spans="1:23" s="7" customFormat="1" x14ac:dyDescent="0.2">
      <c r="A10" s="97" t="s">
        <v>16</v>
      </c>
      <c r="B10" s="56" t="s">
        <v>8</v>
      </c>
      <c r="C10" s="29" t="s">
        <v>21</v>
      </c>
      <c r="D10" s="29" t="s">
        <v>108</v>
      </c>
      <c r="E10" s="57">
        <v>1267042266</v>
      </c>
      <c r="F10" s="58">
        <v>268980819.12018639</v>
      </c>
      <c r="G10" s="58">
        <v>0</v>
      </c>
      <c r="H10" s="58">
        <v>101342094.0002376</v>
      </c>
      <c r="I10" s="31">
        <v>101342094.0002376</v>
      </c>
      <c r="J10" s="58">
        <v>38003285.250089101</v>
      </c>
      <c r="K10" s="31">
        <v>38003285.250089101</v>
      </c>
      <c r="L10" s="58">
        <v>253355235.00059399</v>
      </c>
      <c r="M10" s="31">
        <v>253355235.00059399</v>
      </c>
      <c r="N10" s="58">
        <v>212660218.37797239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</row>
    <row r="11" spans="1:23" s="7" customFormat="1" x14ac:dyDescent="0.2">
      <c r="A11" s="97" t="s">
        <v>17</v>
      </c>
      <c r="B11" s="56" t="s">
        <v>9</v>
      </c>
      <c r="C11" s="29" t="s">
        <v>21</v>
      </c>
      <c r="D11" s="29" t="s">
        <v>108</v>
      </c>
      <c r="E11" s="57">
        <v>766226980</v>
      </c>
      <c r="F11" s="58">
        <v>127240920.89214934</v>
      </c>
      <c r="G11" s="58">
        <v>0</v>
      </c>
      <c r="H11" s="58">
        <v>59068249.155918308</v>
      </c>
      <c r="I11" s="31">
        <v>59068249.155918308</v>
      </c>
      <c r="J11" s="58">
        <v>22150593.433469366</v>
      </c>
      <c r="K11" s="31">
        <v>22150593.433469366</v>
      </c>
      <c r="L11" s="58">
        <v>147670622.88979578</v>
      </c>
      <c r="M11" s="31">
        <v>147670622.88979578</v>
      </c>
      <c r="N11" s="58">
        <v>181207128.14948374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</row>
    <row r="12" spans="1:23" s="7" customFormat="1" x14ac:dyDescent="0.2">
      <c r="A12" s="97" t="s">
        <v>18</v>
      </c>
      <c r="B12" s="56" t="s">
        <v>3</v>
      </c>
      <c r="C12" s="29" t="s">
        <v>21</v>
      </c>
      <c r="D12" s="29" t="s">
        <v>108</v>
      </c>
      <c r="E12" s="57">
        <v>2512238977</v>
      </c>
      <c r="F12" s="58">
        <v>538495349.15086961</v>
      </c>
      <c r="G12" s="58">
        <v>0</v>
      </c>
      <c r="H12" s="58">
        <v>196789994.15275353</v>
      </c>
      <c r="I12" s="31">
        <v>196789994.15275353</v>
      </c>
      <c r="J12" s="58">
        <v>73796247.807282567</v>
      </c>
      <c r="K12" s="31">
        <v>73796247.807282567</v>
      </c>
      <c r="L12" s="58">
        <v>491974985.3818838</v>
      </c>
      <c r="M12" s="31">
        <v>491974985.3818838</v>
      </c>
      <c r="N12" s="58">
        <v>448621173.16529042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</row>
    <row r="13" spans="1:23" s="7" customFormat="1" x14ac:dyDescent="0.2">
      <c r="A13" s="97" t="s">
        <v>19</v>
      </c>
      <c r="B13" s="56" t="s">
        <v>6</v>
      </c>
      <c r="C13" s="29" t="s">
        <v>21</v>
      </c>
      <c r="D13" s="29" t="s">
        <v>108</v>
      </c>
      <c r="E13" s="57">
        <v>4347265707</v>
      </c>
      <c r="F13" s="58">
        <v>926031664.91103697</v>
      </c>
      <c r="G13" s="58">
        <v>0</v>
      </c>
      <c r="H13" s="58">
        <v>345182850.68591118</v>
      </c>
      <c r="I13" s="31">
        <v>345182850.68591118</v>
      </c>
      <c r="J13" s="58">
        <v>129443569.00721671</v>
      </c>
      <c r="K13" s="31">
        <v>129443569.00721671</v>
      </c>
      <c r="L13" s="58">
        <v>862957126.71477795</v>
      </c>
      <c r="M13" s="31">
        <v>862957126.71477795</v>
      </c>
      <c r="N13" s="58">
        <v>746066949.27315092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</row>
    <row r="14" spans="1:23" s="7" customFormat="1" x14ac:dyDescent="0.2">
      <c r="A14" s="97" t="s">
        <v>11</v>
      </c>
      <c r="B14" s="56" t="s">
        <v>10</v>
      </c>
      <c r="C14" s="29" t="s">
        <v>21</v>
      </c>
      <c r="D14" s="29" t="s">
        <v>108</v>
      </c>
      <c r="E14" s="57">
        <v>109227782</v>
      </c>
      <c r="F14" s="58">
        <v>23119148.538304109</v>
      </c>
      <c r="G14" s="58">
        <v>0</v>
      </c>
      <c r="H14" s="58">
        <v>8791601.308418503</v>
      </c>
      <c r="I14" s="31">
        <v>8791601.308418503</v>
      </c>
      <c r="J14" s="58">
        <v>3296850.4906569384</v>
      </c>
      <c r="K14" s="31">
        <v>3296850.4906569384</v>
      </c>
      <c r="L14" s="58">
        <v>21979003.271046255</v>
      </c>
      <c r="M14" s="31">
        <v>21979003.271046255</v>
      </c>
      <c r="N14" s="58">
        <v>17973723.32145251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</row>
    <row r="15" spans="1:23" s="9" customFormat="1" x14ac:dyDescent="0.2">
      <c r="A15" s="118" t="s">
        <v>79</v>
      </c>
      <c r="B15" s="118"/>
      <c r="C15" s="118"/>
      <c r="D15" s="64"/>
      <c r="E15" s="59">
        <f>SUM(E5:E14)</f>
        <v>25397382494</v>
      </c>
      <c r="F15" s="59">
        <f t="shared" ref="F15:W15" si="0">SUM(F5:F14)</f>
        <v>4657102954.1999979</v>
      </c>
      <c r="G15" s="59">
        <v>0</v>
      </c>
      <c r="H15" s="59">
        <f t="shared" si="0"/>
        <v>2000000000</v>
      </c>
      <c r="I15" s="59">
        <f t="shared" si="0"/>
        <v>2000000000</v>
      </c>
      <c r="J15" s="59">
        <f t="shared" si="0"/>
        <v>750000000</v>
      </c>
      <c r="K15" s="59">
        <f t="shared" si="0"/>
        <v>750000000</v>
      </c>
      <c r="L15" s="59">
        <f t="shared" si="0"/>
        <v>5000000000</v>
      </c>
      <c r="M15" s="59">
        <f t="shared" si="0"/>
        <v>5000000000</v>
      </c>
      <c r="N15" s="59">
        <f t="shared" si="0"/>
        <v>5240279539.800004</v>
      </c>
      <c r="O15" s="59">
        <f t="shared" si="0"/>
        <v>0</v>
      </c>
      <c r="P15" s="59">
        <f t="shared" si="0"/>
        <v>0</v>
      </c>
      <c r="Q15" s="59">
        <f t="shared" si="0"/>
        <v>0</v>
      </c>
      <c r="R15" s="59">
        <f t="shared" si="0"/>
        <v>0</v>
      </c>
      <c r="S15" s="59">
        <f t="shared" si="0"/>
        <v>0</v>
      </c>
      <c r="T15" s="59">
        <f t="shared" si="0"/>
        <v>0</v>
      </c>
      <c r="U15" s="59">
        <f t="shared" si="0"/>
        <v>0</v>
      </c>
      <c r="V15" s="59">
        <f t="shared" si="0"/>
        <v>0</v>
      </c>
      <c r="W15" s="59">
        <f t="shared" si="0"/>
        <v>0</v>
      </c>
    </row>
    <row r="16" spans="1:23" ht="25.5" x14ac:dyDescent="0.2">
      <c r="A16" s="97" t="s">
        <v>12</v>
      </c>
      <c r="B16" s="60" t="s">
        <v>2</v>
      </c>
      <c r="C16" s="61" t="s">
        <v>23</v>
      </c>
      <c r="D16" s="61" t="s">
        <v>109</v>
      </c>
      <c r="E16" s="62">
        <v>148908957</v>
      </c>
      <c r="F16" s="58">
        <v>0</v>
      </c>
      <c r="G16" s="31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58">
        <v>0</v>
      </c>
      <c r="O16" s="31">
        <v>0</v>
      </c>
      <c r="P16" s="58">
        <v>0</v>
      </c>
      <c r="Q16" s="31">
        <v>0</v>
      </c>
      <c r="R16" s="58">
        <v>0</v>
      </c>
      <c r="S16" s="31">
        <v>0</v>
      </c>
      <c r="T16" s="58">
        <v>41657828.611823723</v>
      </c>
      <c r="U16" s="58">
        <v>44908634.059540316</v>
      </c>
      <c r="V16" s="58">
        <v>31171247.1675286</v>
      </c>
      <c r="W16" s="58">
        <v>31171247.1675286</v>
      </c>
    </row>
    <row r="17" spans="1:23" x14ac:dyDescent="0.2">
      <c r="A17" s="97" t="s">
        <v>12</v>
      </c>
      <c r="B17" s="60" t="s">
        <v>2</v>
      </c>
      <c r="C17" s="61" t="s">
        <v>22</v>
      </c>
      <c r="D17" s="61" t="s">
        <v>109</v>
      </c>
      <c r="E17" s="62">
        <v>101156981</v>
      </c>
      <c r="F17" s="58">
        <v>0</v>
      </c>
      <c r="G17" s="31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58">
        <v>0</v>
      </c>
      <c r="O17" s="31">
        <v>0</v>
      </c>
      <c r="P17" s="58">
        <v>0</v>
      </c>
      <c r="Q17" s="31">
        <v>0</v>
      </c>
      <c r="R17" s="58">
        <v>0</v>
      </c>
      <c r="S17" s="31">
        <v>0</v>
      </c>
      <c r="T17" s="58">
        <v>28299037.628659964</v>
      </c>
      <c r="U17" s="58">
        <v>30507378.023585733</v>
      </c>
      <c r="V17" s="58">
        <v>21175282.676058192</v>
      </c>
      <c r="W17" s="58">
        <v>21175282.676058192</v>
      </c>
    </row>
    <row r="18" spans="1:23" x14ac:dyDescent="0.2">
      <c r="A18" s="97" t="s">
        <v>12</v>
      </c>
      <c r="B18" s="60" t="s">
        <v>2</v>
      </c>
      <c r="C18" s="61" t="s">
        <v>21</v>
      </c>
      <c r="D18" s="61" t="s">
        <v>110</v>
      </c>
      <c r="E18" s="62">
        <v>12249809662.67</v>
      </c>
      <c r="F18" s="58">
        <v>2702246359.6748028</v>
      </c>
      <c r="G18" s="31">
        <v>3744746033.3189716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58">
        <v>193742372.5459913</v>
      </c>
      <c r="O18" s="31">
        <v>585206883.00897479</v>
      </c>
      <c r="P18" s="58">
        <v>497019852.10971612</v>
      </c>
      <c r="Q18" s="31">
        <v>845618230.10937583</v>
      </c>
      <c r="R18" s="58">
        <v>845618230.10937583</v>
      </c>
      <c r="S18" s="31">
        <v>297995834.30926818</v>
      </c>
      <c r="T18" s="58">
        <v>709907375.75492489</v>
      </c>
      <c r="U18" s="58">
        <v>765305624.8087244</v>
      </c>
      <c r="V18" s="58">
        <v>531201433.51464999</v>
      </c>
      <c r="W18" s="58">
        <v>531201433.51464999</v>
      </c>
    </row>
    <row r="19" spans="1:23" x14ac:dyDescent="0.2">
      <c r="A19" s="97" t="s">
        <v>13</v>
      </c>
      <c r="B19" s="60" t="s">
        <v>4</v>
      </c>
      <c r="C19" s="61" t="s">
        <v>21</v>
      </c>
      <c r="D19" s="61" t="s">
        <v>110</v>
      </c>
      <c r="E19" s="62">
        <v>9107742512</v>
      </c>
      <c r="F19" s="58">
        <v>2014129319.2635815</v>
      </c>
      <c r="G19" s="31">
        <v>2791160307.0163503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58">
        <v>151317649.59202945</v>
      </c>
      <c r="O19" s="31">
        <v>438102584.76452768</v>
      </c>
      <c r="P19" s="58">
        <v>370455585.14905345</v>
      </c>
      <c r="Q19" s="31">
        <v>630284675.58821642</v>
      </c>
      <c r="R19" s="58">
        <v>630284675.58821642</v>
      </c>
      <c r="S19" s="31">
        <v>222112297.3306326</v>
      </c>
      <c r="T19" s="58">
        <v>520312586.3461042</v>
      </c>
      <c r="U19" s="58">
        <v>560915638.55918443</v>
      </c>
      <c r="V19" s="58">
        <v>389333596.44115263</v>
      </c>
      <c r="W19" s="58">
        <v>389333596.44115263</v>
      </c>
    </row>
    <row r="20" spans="1:23" x14ac:dyDescent="0.2">
      <c r="A20" s="97" t="s">
        <v>20</v>
      </c>
      <c r="B20" s="60" t="s">
        <v>7</v>
      </c>
      <c r="C20" s="61" t="s">
        <v>21</v>
      </c>
      <c r="D20" s="61" t="s">
        <v>110</v>
      </c>
      <c r="E20" s="62">
        <v>6709985187</v>
      </c>
      <c r="F20" s="58">
        <v>1377189624.2974586</v>
      </c>
      <c r="G20" s="31">
        <v>1908495635.2153587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58">
        <v>189275867.20841706</v>
      </c>
      <c r="O20" s="31">
        <v>236995199.29850435</v>
      </c>
      <c r="P20" s="58">
        <v>253304285.50479475</v>
      </c>
      <c r="Q20" s="31">
        <v>430966128.77427</v>
      </c>
      <c r="R20" s="58">
        <v>430966128.77427</v>
      </c>
      <c r="S20" s="31">
        <v>151872448.50020903</v>
      </c>
      <c r="T20" s="58">
        <v>484231202.16588789</v>
      </c>
      <c r="U20" s="58">
        <v>522018611.69756079</v>
      </c>
      <c r="V20" s="58">
        <v>362335027.81895483</v>
      </c>
      <c r="W20" s="58">
        <v>362335027.81895483</v>
      </c>
    </row>
    <row r="21" spans="1:23" x14ac:dyDescent="0.2">
      <c r="A21" s="97" t="s">
        <v>14</v>
      </c>
      <c r="B21" s="60" t="s">
        <v>5</v>
      </c>
      <c r="C21" s="61" t="s">
        <v>21</v>
      </c>
      <c r="D21" s="61" t="s">
        <v>110</v>
      </c>
      <c r="E21" s="62">
        <v>9045172676</v>
      </c>
      <c r="F21" s="58">
        <v>1996230062.0254683</v>
      </c>
      <c r="G21" s="31">
        <v>2766355694.9935412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58">
        <v>148758797.25938416</v>
      </c>
      <c r="O21" s="31">
        <v>433872554.35774279</v>
      </c>
      <c r="P21" s="58">
        <v>367163403.38571805</v>
      </c>
      <c r="Q21" s="31">
        <v>624683432.6919961</v>
      </c>
      <c r="R21" s="58">
        <v>624683432.6919961</v>
      </c>
      <c r="S21" s="31">
        <v>220138419.53259581</v>
      </c>
      <c r="T21" s="58">
        <v>521261360.13837135</v>
      </c>
      <c r="U21" s="58">
        <v>561938450.75228357</v>
      </c>
      <c r="V21" s="58">
        <v>390043534.12562519</v>
      </c>
      <c r="W21" s="58">
        <v>390043534.12562519</v>
      </c>
    </row>
    <row r="22" spans="1:23" x14ac:dyDescent="0.2">
      <c r="A22" s="97" t="s">
        <v>15</v>
      </c>
      <c r="B22" s="60" t="s">
        <v>1</v>
      </c>
      <c r="C22" s="61" t="s">
        <v>21</v>
      </c>
      <c r="D22" s="61" t="s">
        <v>110</v>
      </c>
      <c r="E22" s="62">
        <v>13215636453</v>
      </c>
      <c r="F22" s="58">
        <v>2912911243.5421276</v>
      </c>
      <c r="G22" s="31">
        <v>4036683326.6739354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58">
        <v>194043203.32018554</v>
      </c>
      <c r="O22" s="31">
        <v>626724135.51594889</v>
      </c>
      <c r="P22" s="58">
        <v>535767107.35148054</v>
      </c>
      <c r="Q22" s="31">
        <v>911541925.63191235</v>
      </c>
      <c r="R22" s="58">
        <v>911541925.63191235</v>
      </c>
      <c r="S22" s="31">
        <v>321227342.27409464</v>
      </c>
      <c r="T22" s="58">
        <v>773573823.17428851</v>
      </c>
      <c r="U22" s="58">
        <v>833940339.6823566</v>
      </c>
      <c r="V22" s="58">
        <v>578841040.16049826</v>
      </c>
      <c r="W22" s="58">
        <v>578841040.16049826</v>
      </c>
    </row>
    <row r="23" spans="1:23" x14ac:dyDescent="0.2">
      <c r="A23" s="97" t="s">
        <v>16</v>
      </c>
      <c r="B23" s="60" t="s">
        <v>8</v>
      </c>
      <c r="C23" s="61" t="s">
        <v>21</v>
      </c>
      <c r="D23" s="61" t="s">
        <v>110</v>
      </c>
      <c r="E23" s="62">
        <v>5206926586</v>
      </c>
      <c r="F23" s="58">
        <v>1067171365.2547972</v>
      </c>
      <c r="G23" s="31">
        <v>1478875426.2177703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58">
        <v>142037110.62285921</v>
      </c>
      <c r="O23" s="31">
        <v>182495656.91977283</v>
      </c>
      <c r="P23" s="58">
        <v>196283122.83062667</v>
      </c>
      <c r="Q23" s="31">
        <v>333951624.31406438</v>
      </c>
      <c r="R23" s="58">
        <v>333951624.31406438</v>
      </c>
      <c r="S23" s="31">
        <v>117684540.56806824</v>
      </c>
      <c r="T23" s="58">
        <v>378919676.77759147</v>
      </c>
      <c r="U23" s="58">
        <v>408489008.4149583</v>
      </c>
      <c r="V23" s="58">
        <v>283533714.91191757</v>
      </c>
      <c r="W23" s="58">
        <v>283533714.91191757</v>
      </c>
    </row>
    <row r="24" spans="1:23" x14ac:dyDescent="0.2">
      <c r="A24" s="97" t="s">
        <v>17</v>
      </c>
      <c r="B24" s="60" t="s">
        <v>9</v>
      </c>
      <c r="C24" s="61" t="s">
        <v>21</v>
      </c>
      <c r="D24" s="61" t="s">
        <v>110</v>
      </c>
      <c r="E24" s="62">
        <v>2296273020</v>
      </c>
      <c r="F24" s="58">
        <v>504823606.78692007</v>
      </c>
      <c r="G24" s="31">
        <v>699579515.49191701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58">
        <v>25531743.89623034</v>
      </c>
      <c r="O24" s="31">
        <v>106369411.83379194</v>
      </c>
      <c r="P24" s="58">
        <v>92851398.795823902</v>
      </c>
      <c r="Q24" s="31">
        <v>157975250.24326795</v>
      </c>
      <c r="R24" s="58">
        <v>157975250.24326795</v>
      </c>
      <c r="S24" s="31">
        <v>55670472.584737264</v>
      </c>
      <c r="T24" s="58">
        <v>138616932.65642962</v>
      </c>
      <c r="U24" s="58">
        <v>149434027.42207921</v>
      </c>
      <c r="V24" s="58">
        <v>103722705.03345069</v>
      </c>
      <c r="W24" s="58">
        <v>103722705.03345069</v>
      </c>
    </row>
    <row r="25" spans="1:23" x14ac:dyDescent="0.2">
      <c r="A25" s="97" t="s">
        <v>18</v>
      </c>
      <c r="B25" s="60" t="s">
        <v>3</v>
      </c>
      <c r="C25" s="61" t="s">
        <v>21</v>
      </c>
      <c r="D25" s="61" t="s">
        <v>110</v>
      </c>
      <c r="E25" s="62">
        <v>10448544356</v>
      </c>
      <c r="F25" s="58">
        <v>2136460208.636359</v>
      </c>
      <c r="G25" s="31">
        <v>2960685232.4884377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58">
        <v>240143806.36934692</v>
      </c>
      <c r="O25" s="31">
        <v>354377118.53537196</v>
      </c>
      <c r="P25" s="58">
        <v>392955710.02731395</v>
      </c>
      <c r="Q25" s="31">
        <v>668565874.40961587</v>
      </c>
      <c r="R25" s="58">
        <v>668565874.40961587</v>
      </c>
      <c r="S25" s="31">
        <v>235602590.43803921</v>
      </c>
      <c r="T25" s="58">
        <v>780845096.2186408</v>
      </c>
      <c r="U25" s="58">
        <v>841779032.94067824</v>
      </c>
      <c r="V25" s="58">
        <v>584281905.82347143</v>
      </c>
      <c r="W25" s="58">
        <v>584281905.82347143</v>
      </c>
    </row>
    <row r="26" spans="1:23" x14ac:dyDescent="0.2">
      <c r="A26" s="97" t="s">
        <v>19</v>
      </c>
      <c r="B26" s="60" t="s">
        <v>6</v>
      </c>
      <c r="C26" s="61" t="s">
        <v>21</v>
      </c>
      <c r="D26" s="61" t="s">
        <v>110</v>
      </c>
      <c r="E26" s="62">
        <v>17860829680</v>
      </c>
      <c r="F26" s="58">
        <v>3673996083.9762321</v>
      </c>
      <c r="G26" s="31">
        <v>5091387101.9351234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58">
        <v>462073028.1275382</v>
      </c>
      <c r="O26" s="31">
        <v>621601238.01287878</v>
      </c>
      <c r="P26" s="58">
        <v>675752225.09663999</v>
      </c>
      <c r="Q26" s="31">
        <v>1149709409.2985075</v>
      </c>
      <c r="R26" s="58">
        <v>1149709409.2985075</v>
      </c>
      <c r="S26" s="31">
        <v>405157555.07400799</v>
      </c>
      <c r="T26" s="58">
        <v>1295663396.0556638</v>
      </c>
      <c r="U26" s="58">
        <v>1396771633.4905181</v>
      </c>
      <c r="V26" s="58">
        <v>969504299.91704953</v>
      </c>
      <c r="W26" s="58">
        <v>969504299.91704953</v>
      </c>
    </row>
    <row r="27" spans="1:23" x14ac:dyDescent="0.2">
      <c r="A27" s="97" t="s">
        <v>11</v>
      </c>
      <c r="B27" s="60" t="s">
        <v>10</v>
      </c>
      <c r="C27" s="61" t="s">
        <v>21</v>
      </c>
      <c r="D27" s="61" t="s">
        <v>110</v>
      </c>
      <c r="E27" s="62">
        <v>447215788</v>
      </c>
      <c r="F27" s="58">
        <v>91724359.342241511</v>
      </c>
      <c r="G27" s="31">
        <v>127110701.64857911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58">
        <v>12796881.258012246</v>
      </c>
      <c r="O27" s="31">
        <v>15831812.752485726</v>
      </c>
      <c r="P27" s="58">
        <v>16870714.748830542</v>
      </c>
      <c r="Q27" s="31">
        <v>28703448.938769944</v>
      </c>
      <c r="R27" s="58">
        <v>28703448.938769944</v>
      </c>
      <c r="S27" s="31">
        <v>10115094.388345767</v>
      </c>
      <c r="T27" s="58">
        <v>32272195.893599108</v>
      </c>
      <c r="U27" s="58">
        <v>34790585.202803582</v>
      </c>
      <c r="V27" s="58">
        <v>24148272.446268521</v>
      </c>
      <c r="W27" s="58">
        <v>24148272.446268521</v>
      </c>
    </row>
    <row r="28" spans="1:23" s="9" customFormat="1" x14ac:dyDescent="0.2">
      <c r="A28" s="118" t="s">
        <v>80</v>
      </c>
      <c r="B28" s="118"/>
      <c r="C28" s="118"/>
      <c r="D28" s="64"/>
      <c r="E28" s="59">
        <f t="shared" ref="E28:W28" si="1">SUM(E16:E27)</f>
        <v>86838201858.669998</v>
      </c>
      <c r="F28" s="59">
        <f t="shared" si="1"/>
        <v>18476882232.799988</v>
      </c>
      <c r="G28" s="59">
        <f t="shared" si="1"/>
        <v>25605078974.999985</v>
      </c>
      <c r="H28" s="59">
        <f t="shared" si="1"/>
        <v>0</v>
      </c>
      <c r="I28" s="59">
        <f t="shared" si="1"/>
        <v>0</v>
      </c>
      <c r="J28" s="59">
        <f t="shared" si="1"/>
        <v>0</v>
      </c>
      <c r="K28" s="59">
        <f t="shared" si="1"/>
        <v>0</v>
      </c>
      <c r="L28" s="59">
        <f t="shared" si="1"/>
        <v>0</v>
      </c>
      <c r="M28" s="59">
        <f t="shared" si="1"/>
        <v>0</v>
      </c>
      <c r="N28" s="59">
        <f t="shared" si="1"/>
        <v>1759720460.1999946</v>
      </c>
      <c r="O28" s="59">
        <f t="shared" si="1"/>
        <v>3601576594.999999</v>
      </c>
      <c r="P28" s="59">
        <f t="shared" si="1"/>
        <v>3398423404.9999981</v>
      </c>
      <c r="Q28" s="59">
        <f t="shared" si="1"/>
        <v>5781999999.9999971</v>
      </c>
      <c r="R28" s="59">
        <f t="shared" si="1"/>
        <v>5781999999.9999971</v>
      </c>
      <c r="S28" s="59">
        <f t="shared" si="1"/>
        <v>2037576594.9999988</v>
      </c>
      <c r="T28" s="59">
        <f t="shared" si="1"/>
        <v>5705560511.4219866</v>
      </c>
      <c r="U28" s="59">
        <f t="shared" si="1"/>
        <v>6150798965.0542727</v>
      </c>
      <c r="V28" s="59">
        <f t="shared" si="1"/>
        <v>4269292060.0366254</v>
      </c>
      <c r="W28" s="59">
        <f t="shared" si="1"/>
        <v>4269292060.0366254</v>
      </c>
    </row>
    <row r="29" spans="1:23" s="9" customFormat="1" x14ac:dyDescent="0.2">
      <c r="A29" s="118" t="s">
        <v>81</v>
      </c>
      <c r="B29" s="118"/>
      <c r="C29" s="118"/>
      <c r="D29" s="64"/>
      <c r="E29" s="59">
        <f t="shared" ref="E29:W29" si="2">+E15+E28</f>
        <v>112235584352.67</v>
      </c>
      <c r="F29" s="59">
        <f t="shared" si="2"/>
        <v>23133985186.999985</v>
      </c>
      <c r="G29" s="59">
        <f t="shared" si="2"/>
        <v>25605078974.999985</v>
      </c>
      <c r="H29" s="59">
        <f t="shared" si="2"/>
        <v>2000000000</v>
      </c>
      <c r="I29" s="59">
        <f t="shared" si="2"/>
        <v>2000000000</v>
      </c>
      <c r="J29" s="59">
        <f t="shared" si="2"/>
        <v>750000000</v>
      </c>
      <c r="K29" s="59">
        <f t="shared" si="2"/>
        <v>750000000</v>
      </c>
      <c r="L29" s="59">
        <f t="shared" si="2"/>
        <v>5000000000</v>
      </c>
      <c r="M29" s="59">
        <f t="shared" si="2"/>
        <v>5000000000</v>
      </c>
      <c r="N29" s="59">
        <f t="shared" si="2"/>
        <v>6999999999.9999981</v>
      </c>
      <c r="O29" s="59">
        <f t="shared" si="2"/>
        <v>3601576594.999999</v>
      </c>
      <c r="P29" s="59">
        <f t="shared" si="2"/>
        <v>3398423404.9999981</v>
      </c>
      <c r="Q29" s="59">
        <f t="shared" si="2"/>
        <v>5781999999.9999971</v>
      </c>
      <c r="R29" s="59">
        <f t="shared" si="2"/>
        <v>5781999999.9999971</v>
      </c>
      <c r="S29" s="59">
        <f t="shared" si="2"/>
        <v>2037576594.9999988</v>
      </c>
      <c r="T29" s="59">
        <f t="shared" si="2"/>
        <v>5705560511.4219866</v>
      </c>
      <c r="U29" s="59">
        <f t="shared" si="2"/>
        <v>6150798965.0542727</v>
      </c>
      <c r="V29" s="59">
        <f t="shared" si="2"/>
        <v>4269292060.0366254</v>
      </c>
      <c r="W29" s="59">
        <f t="shared" si="2"/>
        <v>4269292060.0366254</v>
      </c>
    </row>
    <row r="30" spans="1:23" x14ac:dyDescent="0.2">
      <c r="F30" s="5">
        <f>+F29-'HT BANCOS'!F74</f>
        <v>0</v>
      </c>
      <c r="G30" s="5">
        <f>+G29-'HT BANCOS'!K74</f>
        <v>0</v>
      </c>
      <c r="H30" s="5">
        <f>+H29-'HT BANCOS'!P74</f>
        <v>0</v>
      </c>
      <c r="I30" s="5">
        <f>+I29-'HT BANCOS'!U74</f>
        <v>0</v>
      </c>
      <c r="J30" s="5">
        <f>+J29-'HT BANCOS'!Z74</f>
        <v>0</v>
      </c>
      <c r="K30" s="5">
        <f>+K29-'HT BANCOS'!AE74</f>
        <v>0</v>
      </c>
      <c r="L30" s="5">
        <f>+L29-'HT BANCOS'!AJ74</f>
        <v>0</v>
      </c>
      <c r="M30" s="5">
        <f>+M29-'HT BANCOS'!AO74</f>
        <v>0</v>
      </c>
      <c r="N30" s="5">
        <f>+N29-'HT BANCOS'!AT74</f>
        <v>0</v>
      </c>
      <c r="O30" s="5">
        <f>+O29-'HT BANCOS'!AY74</f>
        <v>0</v>
      </c>
      <c r="P30" s="5">
        <f>+P29-'HT BANCOS'!BD74</f>
        <v>0</v>
      </c>
      <c r="Q30" s="5">
        <f>+Q29-'HT BANCOS'!BI74</f>
        <v>0</v>
      </c>
      <c r="R30" s="5">
        <f>+R29-'HT BANCOS'!BN74</f>
        <v>0</v>
      </c>
      <c r="S30" s="5">
        <f>+S29-'HT BANCOS'!BS74</f>
        <v>0</v>
      </c>
      <c r="T30" s="5"/>
      <c r="U30" s="5"/>
      <c r="V30" s="5"/>
      <c r="W30" s="5"/>
    </row>
  </sheetData>
  <mergeCells count="5">
    <mergeCell ref="A1:N1"/>
    <mergeCell ref="A2:N2"/>
    <mergeCell ref="A15:C15"/>
    <mergeCell ref="A28:C28"/>
    <mergeCell ref="A29:C29"/>
  </mergeCells>
  <pageMargins left="0.70866141732283505" right="0.70866141732283505" top="0.74803149606299202" bottom="0.74803149606299202" header="0.31496062992126" footer="0.31496062992126"/>
  <pageSetup scale="54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showGridLines="0" zoomScale="90" zoomScaleNormal="90" workbookViewId="0">
      <selection activeCell="B19" sqref="B19"/>
    </sheetView>
  </sheetViews>
  <sheetFormatPr baseColWidth="10" defaultRowHeight="12.75" outlineLevelCol="1" x14ac:dyDescent="0.2"/>
  <cols>
    <col min="1" max="1" width="10" style="69" bestFit="1" customWidth="1"/>
    <col min="2" max="2" width="40.28515625" style="86" bestFit="1" customWidth="1"/>
    <col min="3" max="3" width="31.7109375" style="69" bestFit="1" customWidth="1"/>
    <col min="4" max="4" width="24.28515625" style="77" bestFit="1" customWidth="1"/>
    <col min="5" max="5" width="19.7109375" style="77" bestFit="1" customWidth="1"/>
    <col min="6" max="6" width="16.85546875" style="69" customWidth="1"/>
    <col min="7" max="7" width="15.5703125" style="103" hidden="1" customWidth="1" outlineLevel="1"/>
    <col min="8" max="8" width="13.85546875" style="103" hidden="1" customWidth="1" outlineLevel="1"/>
    <col min="9" max="10" width="15.5703125" style="103" hidden="1" customWidth="1" outlineLevel="1"/>
    <col min="11" max="12" width="13.85546875" style="103" hidden="1" customWidth="1" outlineLevel="1"/>
    <col min="13" max="15" width="15.5703125" style="103" hidden="1" customWidth="1" outlineLevel="1"/>
    <col min="16" max="16" width="17" style="103" bestFit="1" customWidth="1" collapsed="1"/>
    <col min="17" max="17" width="21.28515625" style="103" hidden="1" customWidth="1"/>
    <col min="18" max="18" width="16.85546875" style="69" bestFit="1" customWidth="1"/>
    <col min="19" max="19" width="19.7109375" style="69" hidden="1" customWidth="1" outlineLevel="1"/>
    <col min="20" max="20" width="19.140625" style="69" hidden="1" customWidth="1" outlineLevel="1"/>
    <col min="21" max="22" width="13.5703125" style="69" hidden="1" customWidth="1" outlineLevel="1"/>
    <col min="23" max="26" width="11" style="69" hidden="1" customWidth="1" outlineLevel="1"/>
    <col min="27" max="36" width="15.5703125" style="69" hidden="1" customWidth="1" outlineLevel="1"/>
    <col min="37" max="37" width="16.85546875" style="69" bestFit="1" customWidth="1" collapsed="1"/>
    <col min="38" max="38" width="18" style="69" bestFit="1" customWidth="1"/>
    <col min="39" max="39" width="16" style="87" customWidth="1"/>
    <col min="40" max="16384" width="11.42578125" style="69"/>
  </cols>
  <sheetData>
    <row r="1" spans="1:39" s="48" customFormat="1" ht="26.25" x14ac:dyDescent="0.4">
      <c r="A1" s="117" t="s">
        <v>134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</row>
    <row r="2" spans="1:39" s="48" customFormat="1" ht="26.25" x14ac:dyDescent="0.4">
      <c r="A2" s="117" t="s">
        <v>78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 spans="1:39" s="48" customFormat="1" ht="26.25" x14ac:dyDescent="0.4">
      <c r="A3" s="78"/>
      <c r="B3" s="78"/>
      <c r="C3" s="78"/>
      <c r="D3" s="78"/>
      <c r="E3" s="78"/>
      <c r="F3" s="78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78"/>
      <c r="S3" s="78" t="s">
        <v>140</v>
      </c>
      <c r="T3" s="78" t="s">
        <v>140</v>
      </c>
      <c r="U3" s="78" t="s">
        <v>141</v>
      </c>
      <c r="V3" s="78" t="s">
        <v>141</v>
      </c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</row>
    <row r="4" spans="1:39" s="48" customFormat="1" ht="32.25" customHeight="1" x14ac:dyDescent="0.4">
      <c r="A4" s="78"/>
      <c r="B4" s="78"/>
      <c r="C4" s="78"/>
      <c r="D4" s="78"/>
      <c r="E4" s="78"/>
      <c r="F4" s="78"/>
      <c r="G4" s="122" t="s">
        <v>137</v>
      </c>
      <c r="H4" s="122"/>
      <c r="I4" s="122"/>
      <c r="J4" s="122"/>
      <c r="K4" s="122"/>
      <c r="L4" s="122"/>
      <c r="M4" s="122"/>
      <c r="N4" s="122"/>
      <c r="O4" s="122"/>
      <c r="P4" s="122"/>
      <c r="Q4" s="105"/>
      <c r="R4" s="104"/>
      <c r="S4" s="123" t="s">
        <v>138</v>
      </c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</row>
    <row r="5" spans="1:39" s="87" customFormat="1" ht="25.5" x14ac:dyDescent="0.2">
      <c r="A5" s="65" t="s">
        <v>135</v>
      </c>
      <c r="B5" s="67" t="s">
        <v>25</v>
      </c>
      <c r="C5" s="66" t="s">
        <v>142</v>
      </c>
      <c r="D5" s="67" t="s">
        <v>82</v>
      </c>
      <c r="E5" s="67" t="s">
        <v>83</v>
      </c>
      <c r="F5" s="68" t="s">
        <v>84</v>
      </c>
      <c r="G5" s="95" t="s">
        <v>76</v>
      </c>
      <c r="H5" s="95" t="s">
        <v>77</v>
      </c>
      <c r="I5" s="95">
        <v>45107</v>
      </c>
      <c r="J5" s="95">
        <v>45290</v>
      </c>
      <c r="K5" s="95">
        <v>45473</v>
      </c>
      <c r="L5" s="95">
        <v>45656</v>
      </c>
      <c r="M5" s="95">
        <v>45838</v>
      </c>
      <c r="N5" s="95">
        <v>46021</v>
      </c>
      <c r="O5" s="95">
        <v>46203</v>
      </c>
      <c r="P5" s="68" t="s">
        <v>136</v>
      </c>
      <c r="Q5" s="68"/>
      <c r="R5" s="68" t="s">
        <v>85</v>
      </c>
      <c r="S5" s="95" t="s">
        <v>76</v>
      </c>
      <c r="T5" s="95" t="s">
        <v>77</v>
      </c>
      <c r="U5" s="95">
        <v>45107</v>
      </c>
      <c r="V5" s="95">
        <v>45290</v>
      </c>
      <c r="W5" s="95">
        <v>45473</v>
      </c>
      <c r="X5" s="95">
        <v>45656</v>
      </c>
      <c r="Y5" s="95">
        <v>45838</v>
      </c>
      <c r="Z5" s="95">
        <v>46021</v>
      </c>
      <c r="AA5" s="95">
        <v>46203</v>
      </c>
      <c r="AB5" s="95">
        <v>46386</v>
      </c>
      <c r="AC5" s="95">
        <v>46386</v>
      </c>
      <c r="AD5" s="95">
        <v>46568</v>
      </c>
      <c r="AE5" s="95">
        <v>46751</v>
      </c>
      <c r="AF5" s="95">
        <v>46934</v>
      </c>
      <c r="AG5" s="95">
        <v>47664</v>
      </c>
      <c r="AH5" s="95">
        <v>47847</v>
      </c>
      <c r="AI5" s="95">
        <v>48029</v>
      </c>
      <c r="AJ5" s="95">
        <v>48212</v>
      </c>
      <c r="AK5" s="68" t="s">
        <v>139</v>
      </c>
      <c r="AL5" s="68" t="s">
        <v>44</v>
      </c>
      <c r="AM5" s="68" t="s">
        <v>111</v>
      </c>
    </row>
    <row r="6" spans="1:39" s="71" customFormat="1" x14ac:dyDescent="0.2">
      <c r="A6" s="98" t="s">
        <v>16</v>
      </c>
      <c r="B6" s="99" t="s">
        <v>8</v>
      </c>
      <c r="C6" s="126" t="s">
        <v>122</v>
      </c>
      <c r="D6" s="79">
        <v>734793</v>
      </c>
      <c r="E6" s="80" t="s">
        <v>86</v>
      </c>
      <c r="F6" s="70">
        <v>1267042266</v>
      </c>
      <c r="G6" s="94">
        <f>+VLOOKUP($A$6,RESUMIDO!$A$5:$W$14,6,0)</f>
        <v>268980819.12018639</v>
      </c>
      <c r="H6" s="94">
        <f>+VLOOKUP($A$6,RESUMIDO!$A$5:$W$14,7,0)</f>
        <v>0</v>
      </c>
      <c r="I6" s="94">
        <f>+VLOOKUP($A$6,RESUMIDO!$A$5:$W$14,8,0)</f>
        <v>101342094.0002376</v>
      </c>
      <c r="J6" s="94">
        <f>+VLOOKUP($A$6,RESUMIDO!$A$5:$W$14,9,0)</f>
        <v>101342094.0002376</v>
      </c>
      <c r="K6" s="94">
        <f>+VLOOKUP($A$6,RESUMIDO!$A$5:$W$14,10,0)</f>
        <v>38003285.250089101</v>
      </c>
      <c r="L6" s="94">
        <f>+VLOOKUP($A$6,RESUMIDO!$A$5:$W$14,11,0)</f>
        <v>38003285.250089101</v>
      </c>
      <c r="M6" s="94">
        <f>+VLOOKUP($A$6,RESUMIDO!$A$5:$W$14,12,0)</f>
        <v>253355235.00059399</v>
      </c>
      <c r="N6" s="94">
        <f>+VLOOKUP($A$6,RESUMIDO!$A$5:$W$14,13,0)</f>
        <v>253355235.00059399</v>
      </c>
      <c r="O6" s="94">
        <f>+VLOOKUP($A$6,RESUMIDO!$A$5:$W$14,14,0)</f>
        <v>212660218.37797239</v>
      </c>
      <c r="P6" s="94">
        <f>SUM(G6:O6)</f>
        <v>1267042266.0000002</v>
      </c>
      <c r="Q6" s="70"/>
      <c r="R6" s="70">
        <v>2896642087</v>
      </c>
      <c r="S6" s="94">
        <f>+VLOOKUP($A$6,RESUMIDO!$A$16:$W$27,6,0)*$AM$6</f>
        <v>593673338.69267941</v>
      </c>
      <c r="T6" s="94">
        <f>+VLOOKUP($A$6,RESUMIDO!$A$16:$W$27,7,0)*$AM$6</f>
        <v>822706587.13152373</v>
      </c>
      <c r="U6" s="94">
        <f>+VLOOKUP($A$6,RESUMIDO!$A$16:$W$27,8,0)*$AM$6</f>
        <v>0</v>
      </c>
      <c r="V6" s="94">
        <f>+VLOOKUP($A$6,RESUMIDO!$A$16:$W$27,9,0)*$AM$6</f>
        <v>0</v>
      </c>
      <c r="W6" s="94">
        <f>+VLOOKUP($A$6,RESUMIDO!$A$16:$W$27,10,0)*$AM$6</f>
        <v>0</v>
      </c>
      <c r="X6" s="94">
        <f>+VLOOKUP($A$6,RESUMIDO!$A$16:$W$27,11,0)*$AM$6</f>
        <v>0</v>
      </c>
      <c r="Y6" s="94">
        <f>+VLOOKUP($A$6,RESUMIDO!$A$16:$W$27,12,0)*$AM$6</f>
        <v>0</v>
      </c>
      <c r="Z6" s="94">
        <f>+VLOOKUP($A$6,RESUMIDO!$A$16:$W$27,13,0)*$AM$6</f>
        <v>0</v>
      </c>
      <c r="AA6" s="94">
        <f>+VLOOKUP($A$6,RESUMIDO!$A$16:$W$27,14,0)*$AM$6</f>
        <v>79016031.002294749</v>
      </c>
      <c r="AB6" s="94">
        <f>+VLOOKUP($A$6,RESUMIDO!$A$16:$W$27,15,0)*$AM$6</f>
        <v>101523344.29869889</v>
      </c>
      <c r="AC6" s="94">
        <f>+VLOOKUP($A$6,RESUMIDO!$A$16:$W$27,16,0)*$AM$6</f>
        <v>109193387.91672061</v>
      </c>
      <c r="AD6" s="94">
        <f>+VLOOKUP($A$6,RESUMIDO!$A$16:$W$27,17,0)*$AM$6</f>
        <v>185779137.46874005</v>
      </c>
      <c r="AE6" s="94">
        <f>+VLOOKUP($A$6,RESUMIDO!$A$16:$W$27,18,0)*$AM$6</f>
        <v>185779137.46874005</v>
      </c>
      <c r="AF6" s="94">
        <f>+VLOOKUP($A$6,RESUMIDO!$A$16:$W$27,19,0)*$AM$6</f>
        <v>65468561.457210705</v>
      </c>
      <c r="AG6" s="94">
        <f>+VLOOKUP($A$6,RESUMIDO!$A$16:$W$27,20,0)*$AM$6</f>
        <v>210795114.01169732</v>
      </c>
      <c r="AH6" s="94">
        <f>+VLOOKUP($A$6,RESUMIDO!$A$16:$W$27,21,0)*$AM$6</f>
        <v>227244696.9068262</v>
      </c>
      <c r="AI6" s="94">
        <f>+VLOOKUP($A$6,RESUMIDO!$A$16:$W$27,22,0)*$AM$6</f>
        <v>157731375.33868042</v>
      </c>
      <c r="AJ6" s="94">
        <f>+VLOOKUP($A$6,RESUMIDO!$A$16:$W$27,23,0)*$AM$6</f>
        <v>157731375.33868042</v>
      </c>
      <c r="AK6" s="94">
        <f>SUM(S6:AJ6)</f>
        <v>2896642087.0324922</v>
      </c>
      <c r="AL6" s="70">
        <f>+F6+R6</f>
        <v>4163684353</v>
      </c>
      <c r="AM6" s="93">
        <f>+R6/R8</f>
        <v>0.55630553631930924</v>
      </c>
    </row>
    <row r="7" spans="1:39" s="71" customFormat="1" x14ac:dyDescent="0.2">
      <c r="A7" s="98" t="s">
        <v>16</v>
      </c>
      <c r="B7" s="99" t="s">
        <v>8</v>
      </c>
      <c r="C7" s="126"/>
      <c r="D7" s="79" t="s">
        <v>87</v>
      </c>
      <c r="E7" s="80" t="s">
        <v>88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/>
      <c r="R7" s="70">
        <v>2310284499</v>
      </c>
      <c r="S7" s="94">
        <f>+VLOOKUP($A$7,RESUMIDO!$A$16:$W$27,6,0)*$AM$7</f>
        <v>473498026.56211776</v>
      </c>
      <c r="T7" s="94">
        <f>+VLOOKUP($A$6,RESUMIDO!$A$16:$W$27,7,0)*$AM$7</f>
        <v>656168839.08624649</v>
      </c>
      <c r="U7" s="94">
        <f>+VLOOKUP($A$6,RESUMIDO!$A$16:$W$27,8,0)*$AM$7</f>
        <v>0</v>
      </c>
      <c r="V7" s="94">
        <f>+VLOOKUP($A$6,RESUMIDO!$A$16:$W$27,9,0)*$AM$7</f>
        <v>0</v>
      </c>
      <c r="W7" s="94">
        <f>+VLOOKUP($A$6,RESUMIDO!$A$16:$W$27,10,0)*$AM$7</f>
        <v>0</v>
      </c>
      <c r="X7" s="94">
        <f>+VLOOKUP($A$6,RESUMIDO!$A$16:$W$27,11,0)*$AM$7</f>
        <v>0</v>
      </c>
      <c r="Y7" s="94">
        <f>+VLOOKUP($A$6,RESUMIDO!$A$16:$W$27,12,0)*$AM$7</f>
        <v>0</v>
      </c>
      <c r="Z7" s="94">
        <f>+VLOOKUP($A$6,RESUMIDO!$A$16:$W$27,13,0)*$AM$7</f>
        <v>0</v>
      </c>
      <c r="AA7" s="94">
        <f>+VLOOKUP($A$6,RESUMIDO!$A$16:$W$27,14,0)*$AM$7</f>
        <v>63021079.620564453</v>
      </c>
      <c r="AB7" s="94">
        <f>+VLOOKUP($A$6,RESUMIDO!$A$16:$W$27,15,0)*$AM$7</f>
        <v>80972312.621073946</v>
      </c>
      <c r="AC7" s="94">
        <f>+VLOOKUP($A$6,RESUMIDO!$A$16:$W$27,16,0)*$AM$7</f>
        <v>87089734.913906038</v>
      </c>
      <c r="AD7" s="94">
        <f>+VLOOKUP($A$6,RESUMIDO!$A$16:$W$27,17,0)*$AM$7</f>
        <v>148172486.84532431</v>
      </c>
      <c r="AE7" s="94">
        <f>+VLOOKUP($A$6,RESUMIDO!$A$16:$W$27,18,0)*$AM$7</f>
        <v>148172486.84532431</v>
      </c>
      <c r="AF7" s="94">
        <f>+VLOOKUP($A$6,RESUMIDO!$A$16:$W$27,19,0)*$AM$7</f>
        <v>52215979.110857524</v>
      </c>
      <c r="AG7" s="94">
        <f>+VLOOKUP($A$6,RESUMIDO!$A$16:$W$27,20,0)*$AM$7</f>
        <v>168124562.76589411</v>
      </c>
      <c r="AH7" s="94">
        <f>+VLOOKUP($A$6,RESUMIDO!$A$16:$W$27,21,0)*$AM$7</f>
        <v>181244311.50813207</v>
      </c>
      <c r="AI7" s="94">
        <f>+VLOOKUP($A$6,RESUMIDO!$A$16:$W$27,22,0)*$AM$7</f>
        <v>125802339.57323712</v>
      </c>
      <c r="AJ7" s="94">
        <f>+VLOOKUP($A$6,RESUMIDO!$A$16:$W$27,23,0)*$AM$7</f>
        <v>125802339.57323712</v>
      </c>
      <c r="AK7" s="94">
        <f>SUM(S7:AJ7)</f>
        <v>2310284499.0259151</v>
      </c>
      <c r="AL7" s="70">
        <f>+F7+R7</f>
        <v>2310284499</v>
      </c>
      <c r="AM7" s="93">
        <f>+R7/R8</f>
        <v>0.44369446368069071</v>
      </c>
    </row>
    <row r="8" spans="1:39" s="71" customFormat="1" x14ac:dyDescent="0.2">
      <c r="A8" s="124" t="s">
        <v>128</v>
      </c>
      <c r="B8" s="124"/>
      <c r="C8" s="124"/>
      <c r="D8" s="124"/>
      <c r="E8" s="124"/>
      <c r="F8" s="83">
        <f>SUM(F6:F7)</f>
        <v>1267042266</v>
      </c>
      <c r="G8" s="83">
        <f t="shared" ref="G8:S8" si="0">SUM(G6:G7)</f>
        <v>268980819.12018639</v>
      </c>
      <c r="H8" s="83">
        <f t="shared" si="0"/>
        <v>0</v>
      </c>
      <c r="I8" s="83">
        <f t="shared" si="0"/>
        <v>101342094.0002376</v>
      </c>
      <c r="J8" s="83">
        <f t="shared" si="0"/>
        <v>101342094.0002376</v>
      </c>
      <c r="K8" s="83">
        <f t="shared" si="0"/>
        <v>38003285.250089101</v>
      </c>
      <c r="L8" s="83">
        <f t="shared" si="0"/>
        <v>38003285.250089101</v>
      </c>
      <c r="M8" s="83">
        <f t="shared" si="0"/>
        <v>253355235.00059399</v>
      </c>
      <c r="N8" s="83">
        <f t="shared" si="0"/>
        <v>253355235.00059399</v>
      </c>
      <c r="O8" s="83">
        <f t="shared" si="0"/>
        <v>212660218.37797239</v>
      </c>
      <c r="P8" s="83">
        <f t="shared" si="0"/>
        <v>1267042266.0000002</v>
      </c>
      <c r="Q8" s="83"/>
      <c r="R8" s="83">
        <f>SUM(R6:R7)</f>
        <v>5206926586</v>
      </c>
      <c r="S8" s="83">
        <f t="shared" si="0"/>
        <v>1067171365.2547972</v>
      </c>
      <c r="T8" s="83">
        <f t="shared" ref="T8" si="1">SUM(T6:T7)</f>
        <v>1478875426.2177701</v>
      </c>
      <c r="U8" s="83">
        <f t="shared" ref="U8" si="2">SUM(U6:U7)</f>
        <v>0</v>
      </c>
      <c r="V8" s="83">
        <f t="shared" ref="V8" si="3">SUM(V6:V7)</f>
        <v>0</v>
      </c>
      <c r="W8" s="83">
        <f t="shared" ref="W8" si="4">SUM(W6:W7)</f>
        <v>0</v>
      </c>
      <c r="X8" s="83">
        <f t="shared" ref="X8" si="5">SUM(X6:X7)</f>
        <v>0</v>
      </c>
      <c r="Y8" s="83">
        <f t="shared" ref="Y8" si="6">SUM(Y6:Y7)</f>
        <v>0</v>
      </c>
      <c r="Z8" s="83">
        <f t="shared" ref="Z8" si="7">SUM(Z6:Z7)</f>
        <v>0</v>
      </c>
      <c r="AA8" s="83">
        <f t="shared" ref="AA8" si="8">SUM(AA6:AA7)</f>
        <v>142037110.62285921</v>
      </c>
      <c r="AB8" s="83">
        <f t="shared" ref="AB8" si="9">SUM(AB6:AB7)</f>
        <v>182495656.91977283</v>
      </c>
      <c r="AC8" s="83">
        <f t="shared" ref="AC8" si="10">SUM(AC6:AC7)</f>
        <v>196283122.83062667</v>
      </c>
      <c r="AD8" s="83">
        <f t="shared" ref="AD8" si="11">SUM(AD6:AD7)</f>
        <v>333951624.31406438</v>
      </c>
      <c r="AE8" s="83">
        <f t="shared" ref="AE8" si="12">SUM(AE6:AE7)</f>
        <v>333951624.31406438</v>
      </c>
      <c r="AF8" s="83">
        <f t="shared" ref="AF8" si="13">SUM(AF6:AF7)</f>
        <v>117684540.56806824</v>
      </c>
      <c r="AG8" s="83">
        <f t="shared" ref="AG8" si="14">SUM(AG6:AG7)</f>
        <v>378919676.77759147</v>
      </c>
      <c r="AH8" s="83">
        <f t="shared" ref="AH8" si="15">SUM(AH6:AH7)</f>
        <v>408489008.41495824</v>
      </c>
      <c r="AI8" s="83">
        <f t="shared" ref="AI8" si="16">SUM(AI6:AI7)</f>
        <v>283533714.91191757</v>
      </c>
      <c r="AJ8" s="83">
        <f t="shared" ref="AJ8" si="17">SUM(AJ6:AJ7)</f>
        <v>283533714.91191757</v>
      </c>
      <c r="AK8" s="83">
        <f t="shared" ref="AK8" si="18">SUM(AK6:AK7)</f>
        <v>5206926586.0584068</v>
      </c>
      <c r="AL8" s="83">
        <f>SUM(AL6:AL7)</f>
        <v>6473968852</v>
      </c>
      <c r="AM8" s="92">
        <f>SUM($AM$6:$AM$7)</f>
        <v>1</v>
      </c>
    </row>
    <row r="9" spans="1:39" s="71" customFormat="1" x14ac:dyDescent="0.2">
      <c r="A9" s="98" t="s">
        <v>13</v>
      </c>
      <c r="B9" s="99" t="s">
        <v>4</v>
      </c>
      <c r="C9" s="126" t="s">
        <v>112</v>
      </c>
      <c r="D9" s="79" t="s">
        <v>89</v>
      </c>
      <c r="E9" s="80" t="s">
        <v>86</v>
      </c>
      <c r="F9" s="70">
        <v>3093286697</v>
      </c>
      <c r="G9" s="94">
        <f>+VLOOKUP($A$9,RESUMIDO!$A$5:$W$14,6,0)</f>
        <v>507661816.78811336</v>
      </c>
      <c r="H9" s="94">
        <f>+VLOOKUP($A$9,RESUMIDO!$A$5:$W$14,7,0)</f>
        <v>0</v>
      </c>
      <c r="I9" s="94">
        <f>+VLOOKUP($A$9,RESUMIDO!$A$5:$W$14,8,0)</f>
        <v>243283780.42701474</v>
      </c>
      <c r="J9" s="94">
        <f>+VLOOKUP($A$9,RESUMIDO!$A$5:$W$14,9,0)</f>
        <v>243283780.42701474</v>
      </c>
      <c r="K9" s="94">
        <f>+VLOOKUP($A$9,RESUMIDO!$A$5:$W$14,10,0)</f>
        <v>91231417.660130531</v>
      </c>
      <c r="L9" s="94">
        <f>+VLOOKUP($A$9,RESUMIDO!$A$5:$W$14,11,0)</f>
        <v>91231417.660130531</v>
      </c>
      <c r="M9" s="94">
        <f>+VLOOKUP($A$9,RESUMIDO!$A$5:$W$14,12,0)</f>
        <v>608209451.06753683</v>
      </c>
      <c r="N9" s="94">
        <f>+VLOOKUP($A$9,RESUMIDO!$A$5:$W$14,13,0)</f>
        <v>608209451.06753683</v>
      </c>
      <c r="O9" s="94">
        <f>+VLOOKUP($A$9,RESUMIDO!$A$5:$W$14,14,0)</f>
        <v>700175581.90252209</v>
      </c>
      <c r="P9" s="94">
        <f>SUM(G9:O9)</f>
        <v>3093286696.9999995</v>
      </c>
      <c r="Q9" s="70"/>
      <c r="R9" s="70">
        <v>4764995906</v>
      </c>
      <c r="S9" s="94">
        <f>+VLOOKUP($A$9,RESUMIDO!$A$16:$W$27,6,0)*$AM$9</f>
        <v>1053753764.7556998</v>
      </c>
      <c r="T9" s="94">
        <f>+VLOOKUP($A$9,RESUMIDO!$A$16:$W$27,7,0)*$AM$9</f>
        <v>1460281449.3711517</v>
      </c>
      <c r="U9" s="94">
        <f>+VLOOKUP($A$9,RESUMIDO!$A$16:$W$27,8,0)*$AM$9</f>
        <v>0</v>
      </c>
      <c r="V9" s="94">
        <f>+VLOOKUP($A$9,RESUMIDO!$A$16:$W$27,9,0)*$AM$9</f>
        <v>0</v>
      </c>
      <c r="W9" s="94">
        <f>+VLOOKUP($A$9,RESUMIDO!$A$16:$W$27,10,0)*$AM$9</f>
        <v>0</v>
      </c>
      <c r="X9" s="94">
        <f>+VLOOKUP($A$9,RESUMIDO!$A$16:$W$27,11,0)*$AM$9</f>
        <v>0</v>
      </c>
      <c r="Y9" s="94">
        <f>+VLOOKUP($A$9,RESUMIDO!$A$16:$W$27,12,0)*$AM$9</f>
        <v>0</v>
      </c>
      <c r="Z9" s="94">
        <f>+VLOOKUP($A$9,RESUMIDO!$A$16:$W$27,13,0)*$AM$9</f>
        <v>0</v>
      </c>
      <c r="AA9" s="94">
        <f>+VLOOKUP($A$9,RESUMIDO!$A$16:$W$27,14,0)*$AM$9</f>
        <v>79166487.179623827</v>
      </c>
      <c r="AB9" s="94">
        <f>+VLOOKUP($A$9,RESUMIDO!$A$16:$W$27,15,0)*$AM$9</f>
        <v>229206855.60230872</v>
      </c>
      <c r="AC9" s="94">
        <f>+VLOOKUP($A$9,RESUMIDO!$A$16:$W$27,16,0)*$AM$9</f>
        <v>193815245.02523994</v>
      </c>
      <c r="AD9" s="94">
        <f>+VLOOKUP($A$9,RESUMIDO!$A$16:$W$27,17,0)*$AM$9</f>
        <v>329752833.35418802</v>
      </c>
      <c r="AE9" s="94">
        <f>+VLOOKUP($A$9,RESUMIDO!$A$16:$W$27,18,0)*$AM$9</f>
        <v>329752833.35418802</v>
      </c>
      <c r="AF9" s="94">
        <f>+VLOOKUP($A$9,RESUMIDO!$A$16:$W$27,19,0)*$AM$9</f>
        <v>116204886.78267534</v>
      </c>
      <c r="AG9" s="94">
        <f>+VLOOKUP($A$9,RESUMIDO!$A$16:$W$27,20,0)*$AM$9</f>
        <v>272217549.02631992</v>
      </c>
      <c r="AH9" s="94">
        <f>+VLOOKUP($A$9,RESUMIDO!$A$16:$W$27,21,0)*$AM$9</f>
        <v>293460285.8858127</v>
      </c>
      <c r="AI9" s="94">
        <f>+VLOOKUP($A$9,RESUMIDO!$A$16:$W$27,22,0)*$AM$9</f>
        <v>203691857.85237628</v>
      </c>
      <c r="AJ9" s="94">
        <f>+VLOOKUP($A$9,RESUMIDO!$A$16:$W$27,23,0)*$AM$9</f>
        <v>203691857.85237628</v>
      </c>
      <c r="AK9" s="94">
        <f>SUM(S9:AJ9)</f>
        <v>4764995906.0419598</v>
      </c>
      <c r="AL9" s="70">
        <f>+F9+R9</f>
        <v>7858282603</v>
      </c>
      <c r="AM9" s="93">
        <f>+R9/R11</f>
        <v>0.52318078818344183</v>
      </c>
    </row>
    <row r="10" spans="1:39" s="71" customFormat="1" x14ac:dyDescent="0.2">
      <c r="A10" s="98" t="s">
        <v>13</v>
      </c>
      <c r="B10" s="99" t="s">
        <v>4</v>
      </c>
      <c r="C10" s="126"/>
      <c r="D10" s="79" t="s">
        <v>90</v>
      </c>
      <c r="E10" s="80" t="s">
        <v>88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/>
      <c r="R10" s="70">
        <v>4342746606</v>
      </c>
      <c r="S10" s="94">
        <f>+VLOOKUP($A$10,RESUMIDO!$A$16:$W$27,6,0)*$AM$10</f>
        <v>960375554.50788188</v>
      </c>
      <c r="T10" s="94">
        <f>+VLOOKUP($A$10,RESUMIDO!$A$16:$W$27,7,0)*$AM$10</f>
        <v>1330878857.6451988</v>
      </c>
      <c r="U10" s="94">
        <f>+VLOOKUP($A$10,RESUMIDO!$A$16:$W$27,8,0)*$AM$10</f>
        <v>0</v>
      </c>
      <c r="V10" s="94">
        <f>+VLOOKUP($A$10,RESUMIDO!$A$16:$W$27,9,0)*$AM$10</f>
        <v>0</v>
      </c>
      <c r="W10" s="94">
        <f>+VLOOKUP($A$10,RESUMIDO!$A$16:$W$27,10,0)*$AM$10</f>
        <v>0</v>
      </c>
      <c r="X10" s="94">
        <f>+VLOOKUP($A$10,RESUMIDO!$A$16:$W$27,11,0)*$AM$10</f>
        <v>0</v>
      </c>
      <c r="Y10" s="94">
        <f>+VLOOKUP($A$10,RESUMIDO!$A$16:$W$27,12,0)*$AM$10</f>
        <v>0</v>
      </c>
      <c r="Z10" s="94">
        <f>+VLOOKUP($A$10,RESUMIDO!$A$16:$W$27,13,0)*$AM$10</f>
        <v>0</v>
      </c>
      <c r="AA10" s="94">
        <f>+VLOOKUP($A$10,RESUMIDO!$A$16:$W$27,14,0)*$AM$10</f>
        <v>72151162.412405625</v>
      </c>
      <c r="AB10" s="94">
        <f>+VLOOKUP($A$10,RESUMIDO!$A$16:$W$27,15,0)*$AM$10</f>
        <v>208895729.16221899</v>
      </c>
      <c r="AC10" s="94">
        <f>+VLOOKUP($A$10,RESUMIDO!$A$16:$W$27,16,0)*$AM$10</f>
        <v>176640340.12381354</v>
      </c>
      <c r="AD10" s="94">
        <f>+VLOOKUP($A$10,RESUMIDO!$A$16:$W$27,17,0)*$AM$10</f>
        <v>300531842.23402846</v>
      </c>
      <c r="AE10" s="94">
        <f>+VLOOKUP($A$10,RESUMIDO!$A$16:$W$27,18,0)*$AM$10</f>
        <v>300531842.23402846</v>
      </c>
      <c r="AF10" s="94">
        <f>+VLOOKUP($A$10,RESUMIDO!$A$16:$W$27,19,0)*$AM$10</f>
        <v>105907410.54795727</v>
      </c>
      <c r="AG10" s="94">
        <f>+VLOOKUP($A$10,RESUMIDO!$A$16:$W$27,20,0)*$AM$10</f>
        <v>248095037.31978431</v>
      </c>
      <c r="AH10" s="94">
        <f>+VLOOKUP($A$10,RESUMIDO!$A$16:$W$27,21,0)*$AM$10</f>
        <v>267455352.67337179</v>
      </c>
      <c r="AI10" s="94">
        <f>+VLOOKUP($A$10,RESUMIDO!$A$16:$W$27,22,0)*$AM$10</f>
        <v>185641738.58877635</v>
      </c>
      <c r="AJ10" s="94">
        <f>+VLOOKUP($A$10,RESUMIDO!$A$16:$W$27,23,0)*$AM$10</f>
        <v>185641738.58877635</v>
      </c>
      <c r="AK10" s="94">
        <f>SUM(S10:AJ10)</f>
        <v>4342746606.0382423</v>
      </c>
      <c r="AL10" s="70">
        <f>+F10+R10</f>
        <v>4342746606</v>
      </c>
      <c r="AM10" s="93">
        <f>+R10/R11</f>
        <v>0.47681921181655823</v>
      </c>
    </row>
    <row r="11" spans="1:39" s="89" customFormat="1" x14ac:dyDescent="0.2">
      <c r="A11" s="124" t="s">
        <v>123</v>
      </c>
      <c r="B11" s="124"/>
      <c r="C11" s="124"/>
      <c r="D11" s="124"/>
      <c r="E11" s="124"/>
      <c r="F11" s="88">
        <f>SUM(F9:F10)</f>
        <v>3093286697</v>
      </c>
      <c r="G11" s="88">
        <f t="shared" ref="G11:S11" si="19">SUM(G9:G10)</f>
        <v>507661816.78811336</v>
      </c>
      <c r="H11" s="88">
        <f t="shared" si="19"/>
        <v>0</v>
      </c>
      <c r="I11" s="88">
        <f t="shared" si="19"/>
        <v>243283780.42701474</v>
      </c>
      <c r="J11" s="88">
        <f t="shared" si="19"/>
        <v>243283780.42701474</v>
      </c>
      <c r="K11" s="88">
        <f t="shared" si="19"/>
        <v>91231417.660130531</v>
      </c>
      <c r="L11" s="88">
        <f t="shared" si="19"/>
        <v>91231417.660130531</v>
      </c>
      <c r="M11" s="88">
        <f t="shared" si="19"/>
        <v>608209451.06753683</v>
      </c>
      <c r="N11" s="88">
        <f t="shared" si="19"/>
        <v>608209451.06753683</v>
      </c>
      <c r="O11" s="88">
        <f t="shared" si="19"/>
        <v>700175581.90252209</v>
      </c>
      <c r="P11" s="88">
        <f t="shared" si="19"/>
        <v>3093286696.9999995</v>
      </c>
      <c r="Q11" s="88"/>
      <c r="R11" s="88">
        <f>SUM(R9:R10)</f>
        <v>9107742512</v>
      </c>
      <c r="S11" s="88">
        <f t="shared" si="19"/>
        <v>2014129319.2635818</v>
      </c>
      <c r="T11" s="88">
        <f t="shared" ref="T11" si="20">SUM(T9:T10)</f>
        <v>2791160307.0163507</v>
      </c>
      <c r="U11" s="88">
        <f t="shared" ref="U11" si="21">SUM(U9:U10)</f>
        <v>0</v>
      </c>
      <c r="V11" s="88">
        <f t="shared" ref="V11" si="22">SUM(V9:V10)</f>
        <v>0</v>
      </c>
      <c r="W11" s="88">
        <f t="shared" ref="W11" si="23">SUM(W9:W10)</f>
        <v>0</v>
      </c>
      <c r="X11" s="88">
        <f t="shared" ref="X11" si="24">SUM(X9:X10)</f>
        <v>0</v>
      </c>
      <c r="Y11" s="88">
        <f t="shared" ref="Y11" si="25">SUM(Y9:Y10)</f>
        <v>0</v>
      </c>
      <c r="Z11" s="88">
        <f t="shared" ref="Z11" si="26">SUM(Z9:Z10)</f>
        <v>0</v>
      </c>
      <c r="AA11" s="88">
        <f t="shared" ref="AA11" si="27">SUM(AA9:AA10)</f>
        <v>151317649.59202945</v>
      </c>
      <c r="AB11" s="88">
        <f t="shared" ref="AB11" si="28">SUM(AB9:AB10)</f>
        <v>438102584.76452768</v>
      </c>
      <c r="AC11" s="88">
        <f t="shared" ref="AC11" si="29">SUM(AC9:AC10)</f>
        <v>370455585.14905345</v>
      </c>
      <c r="AD11" s="88">
        <f t="shared" ref="AD11" si="30">SUM(AD9:AD10)</f>
        <v>630284675.58821654</v>
      </c>
      <c r="AE11" s="88">
        <f t="shared" ref="AE11" si="31">SUM(AE9:AE10)</f>
        <v>630284675.58821654</v>
      </c>
      <c r="AF11" s="88">
        <f t="shared" ref="AF11" si="32">SUM(AF9:AF10)</f>
        <v>222112297.33063263</v>
      </c>
      <c r="AG11" s="88">
        <f t="shared" ref="AG11" si="33">SUM(AG9:AG10)</f>
        <v>520312586.34610426</v>
      </c>
      <c r="AH11" s="88">
        <f t="shared" ref="AH11" si="34">SUM(AH9:AH10)</f>
        <v>560915638.55918455</v>
      </c>
      <c r="AI11" s="88">
        <f t="shared" ref="AI11" si="35">SUM(AI9:AI10)</f>
        <v>389333596.44115263</v>
      </c>
      <c r="AJ11" s="88">
        <f t="shared" ref="AJ11" si="36">SUM(AJ9:AJ10)</f>
        <v>389333596.44115263</v>
      </c>
      <c r="AK11" s="88">
        <f t="shared" ref="AK11" si="37">SUM(AK9:AK10)</f>
        <v>9107742512.0802021</v>
      </c>
      <c r="AL11" s="88">
        <f>SUM(AL9:AL10)</f>
        <v>12201029209</v>
      </c>
      <c r="AM11" s="92">
        <f>SUM(AM9:AM10)</f>
        <v>1</v>
      </c>
    </row>
    <row r="12" spans="1:39" s="71" customFormat="1" x14ac:dyDescent="0.2">
      <c r="A12" s="98" t="s">
        <v>15</v>
      </c>
      <c r="B12" s="99" t="s">
        <v>1</v>
      </c>
      <c r="C12" s="126" t="s">
        <v>113</v>
      </c>
      <c r="D12" s="72">
        <v>100002990</v>
      </c>
      <c r="E12" s="80" t="s">
        <v>86</v>
      </c>
      <c r="F12" s="70">
        <v>4455467994</v>
      </c>
      <c r="G12" s="94">
        <f>+VLOOKUP($A$12,RESUMIDO!$A$5:$W$14,6,0)</f>
        <v>734200033.6799612</v>
      </c>
      <c r="H12" s="94">
        <f>+VLOOKUP($A$12,RESUMIDO!$A$5:$W$14,7,0)</f>
        <v>0</v>
      </c>
      <c r="I12" s="94">
        <f>+VLOOKUP($A$12,RESUMIDO!$A$5:$W$14,8,0)</f>
        <v>348027658.99024224</v>
      </c>
      <c r="J12" s="94">
        <f>+VLOOKUP($A$12,RESUMIDO!$A$5:$W$14,9,0)</f>
        <v>348027658.99024224</v>
      </c>
      <c r="K12" s="94">
        <f>+VLOOKUP($A$12,RESUMIDO!$A$5:$W$14,10,0)</f>
        <v>130510372.12134084</v>
      </c>
      <c r="L12" s="94">
        <f>+VLOOKUP($A$12,RESUMIDO!$A$5:$W$14,11,0)</f>
        <v>130510372.12134084</v>
      </c>
      <c r="M12" s="94">
        <f>+VLOOKUP($A$12,RESUMIDO!$A$5:$W$14,12,0)</f>
        <v>870069147.47560561</v>
      </c>
      <c r="N12" s="94">
        <f>+VLOOKUP($A$12,RESUMIDO!$A$5:$W$14,13,0)</f>
        <v>870069147.47560561</v>
      </c>
      <c r="O12" s="94">
        <f>+VLOOKUP($A$12,RESUMIDO!$A$5:$W$14,14,0)</f>
        <v>1024053603.1456622</v>
      </c>
      <c r="P12" s="94">
        <f>SUM(G12:O12)</f>
        <v>4455467994</v>
      </c>
      <c r="Q12" s="70"/>
      <c r="R12" s="70">
        <v>6908819276</v>
      </c>
      <c r="S12" s="94">
        <f>+VLOOKUP($A$12,RESUMIDO!$A$16:$W$27,6,0)*$AM$12</f>
        <v>1522800465.9656463</v>
      </c>
      <c r="T12" s="94">
        <f>+VLOOKUP($A$12,RESUMIDO!$A$16:$W$27,7,0)*$AM$12</f>
        <v>2110281686.2143512</v>
      </c>
      <c r="U12" s="94">
        <f>+VLOOKUP($A$12,RESUMIDO!$A$16:$W$27,8,0)*$AM$12</f>
        <v>0</v>
      </c>
      <c r="V12" s="94">
        <f>+VLOOKUP($A$12,RESUMIDO!$A$16:$W$27,9,0)*$AM$12</f>
        <v>0</v>
      </c>
      <c r="W12" s="94">
        <f>+VLOOKUP($A$12,RESUMIDO!$A$16:$W$27,10,0)*$AM$12</f>
        <v>0</v>
      </c>
      <c r="X12" s="94">
        <f>+VLOOKUP($A$12,RESUMIDO!$A$16:$W$27,11,0)*$AM$12</f>
        <v>0</v>
      </c>
      <c r="Y12" s="94">
        <f>+VLOOKUP($A$12,RESUMIDO!$A$16:$W$27,12,0)*$AM$12</f>
        <v>0</v>
      </c>
      <c r="Z12" s="94">
        <f>+VLOOKUP($A$12,RESUMIDO!$A$16:$W$27,13,0)*$AM$12</f>
        <v>0</v>
      </c>
      <c r="AA12" s="94">
        <f>+VLOOKUP($A$12,RESUMIDO!$A$16:$W$27,14,0)*$AM$12</f>
        <v>101441154.82012685</v>
      </c>
      <c r="AB12" s="94">
        <f>+VLOOKUP($A$12,RESUMIDO!$A$16:$W$27,15,0)*$AM$12</f>
        <v>327636417.9346137</v>
      </c>
      <c r="AC12" s="94">
        <f>+VLOOKUP($A$12,RESUMIDO!$A$16:$W$27,16,0)*$AM$12</f>
        <v>280086254.78468055</v>
      </c>
      <c r="AD12" s="94">
        <f>+VLOOKUP($A$12,RESUMIDO!$A$16:$W$27,17,0)*$AM$12</f>
        <v>476532359.91205835</v>
      </c>
      <c r="AE12" s="94">
        <f>+VLOOKUP($A$12,RESUMIDO!$A$16:$W$27,18,0)*$AM$12</f>
        <v>476532359.91205835</v>
      </c>
      <c r="AF12" s="94">
        <f>+VLOOKUP($A$12,RESUMIDO!$A$16:$W$27,19,0)*$AM$12</f>
        <v>167929986.73762131</v>
      </c>
      <c r="AG12" s="94">
        <f>+VLOOKUP($A$12,RESUMIDO!$A$16:$W$27,20,0)*$AM$12</f>
        <v>404405929.29160982</v>
      </c>
      <c r="AH12" s="94">
        <f>+VLOOKUP($A$12,RESUMIDO!$A$16:$W$27,21,0)*$AM$12</f>
        <v>435964103.15324312</v>
      </c>
      <c r="AI12" s="94">
        <f>+VLOOKUP($A$12,RESUMIDO!$A$16:$W$27,22,0)*$AM$12</f>
        <v>302604278.66816258</v>
      </c>
      <c r="AJ12" s="94">
        <f>+VLOOKUP($A$12,RESUMIDO!$A$16:$W$27,23,0)*$AM$12</f>
        <v>302604278.66816258</v>
      </c>
      <c r="AK12" s="94">
        <f>SUM(S12:AJ12)</f>
        <v>6908819276.0623341</v>
      </c>
      <c r="AL12" s="70">
        <f>+F12+R12</f>
        <v>11364287270</v>
      </c>
      <c r="AM12" s="93">
        <f>+R12/R14</f>
        <v>0.52277612966810016</v>
      </c>
    </row>
    <row r="13" spans="1:39" s="71" customFormat="1" x14ac:dyDescent="0.2">
      <c r="A13" s="98" t="s">
        <v>15</v>
      </c>
      <c r="B13" s="99" t="s">
        <v>1</v>
      </c>
      <c r="C13" s="126"/>
      <c r="D13" s="72">
        <v>100002989</v>
      </c>
      <c r="E13" s="80" t="s">
        <v>88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/>
      <c r="R13" s="70">
        <v>6306817177</v>
      </c>
      <c r="S13" s="94">
        <f>+VLOOKUP($A$13,RESUMIDO!$A$16:$W$27,6,0)*AM$13</f>
        <v>1390110777.5764813</v>
      </c>
      <c r="T13" s="94">
        <f>+VLOOKUP($A$13,RESUMIDO!$A$16:$W$27,7,0)*AM$13</f>
        <v>1926401640.459584</v>
      </c>
      <c r="U13" s="94">
        <f>+VLOOKUP($A$13,RESUMIDO!$A$16:$W$27,8,0)*AM$13</f>
        <v>0</v>
      </c>
      <c r="V13" s="94">
        <f>+VLOOKUP($A$13,RESUMIDO!$A$16:$W$27,9,0)*AM$13</f>
        <v>0</v>
      </c>
      <c r="W13" s="94">
        <f>+VLOOKUP($A$13,RESUMIDO!$A$16:$W$27,10,0)*AM$13</f>
        <v>0</v>
      </c>
      <c r="X13" s="94">
        <f>+VLOOKUP($A$13,RESUMIDO!$A$16:$W$27,11,0)*AM$13</f>
        <v>0</v>
      </c>
      <c r="Y13" s="94">
        <f>+VLOOKUP($A$13,RESUMIDO!$A$16:$W$27,12,0)*AM$13</f>
        <v>0</v>
      </c>
      <c r="Z13" s="94">
        <f>+VLOOKUP($A$13,RESUMIDO!$A$16:$W$27,13,0)*AM$13</f>
        <v>0</v>
      </c>
      <c r="AA13" s="94">
        <f>+VLOOKUP($A$13,RESUMIDO!$A$16:$W$27,14,0)*AM$13</f>
        <v>92602048.500058696</v>
      </c>
      <c r="AB13" s="94">
        <f>+VLOOKUP($A$13,RESUMIDO!$A$16:$W$27,15,0)*AM$13</f>
        <v>299087717.58133519</v>
      </c>
      <c r="AC13" s="94">
        <f>+VLOOKUP($A$13,RESUMIDO!$A$16:$W$27,16,0)*AM$13</f>
        <v>255680852.56679997</v>
      </c>
      <c r="AD13" s="94">
        <f>+VLOOKUP($A$13,RESUMIDO!$A$16:$W$27,17,0)*AM$13</f>
        <v>435009565.719854</v>
      </c>
      <c r="AE13" s="94">
        <f>+VLOOKUP($A$13,RESUMIDO!$A$16:$W$27,18,0)*AM$13</f>
        <v>435009565.719854</v>
      </c>
      <c r="AF13" s="94">
        <f>+VLOOKUP($A$13,RESUMIDO!$A$16:$W$27,19,0)*AM$13</f>
        <v>153297355.53647333</v>
      </c>
      <c r="AG13" s="94">
        <f>+VLOOKUP($A$13,RESUMIDO!$A$16:$W$27,20,0)*AM$13</f>
        <v>369167893.88267863</v>
      </c>
      <c r="AH13" s="94">
        <f>+VLOOKUP($A$13,RESUMIDO!$A$16:$W$27,21,0)*AM$13</f>
        <v>397976236.52911341</v>
      </c>
      <c r="AI13" s="94">
        <f>+VLOOKUP($A$13,RESUMIDO!$A$16:$W$27,22,0)*AM$13</f>
        <v>276236761.49233562</v>
      </c>
      <c r="AJ13" s="94">
        <f>+VLOOKUP($A$13,RESUMIDO!$A$16:$W$27,23,0)*AM$13</f>
        <v>276236761.49233562</v>
      </c>
      <c r="AK13" s="94">
        <f>SUM(S13:AJ13)</f>
        <v>6306817177.0569038</v>
      </c>
      <c r="AL13" s="70">
        <f>+F13+R13</f>
        <v>6306817177</v>
      </c>
      <c r="AM13" s="93">
        <f>+R13/R14</f>
        <v>0.47722387033189978</v>
      </c>
    </row>
    <row r="14" spans="1:39" s="89" customFormat="1" x14ac:dyDescent="0.2">
      <c r="A14" s="124" t="s">
        <v>124</v>
      </c>
      <c r="B14" s="124"/>
      <c r="C14" s="124"/>
      <c r="D14" s="124"/>
      <c r="E14" s="124"/>
      <c r="F14" s="88">
        <f>SUM(F12:F13)</f>
        <v>4455467994</v>
      </c>
      <c r="G14" s="88">
        <f t="shared" ref="G14:S14" si="38">SUM(G12:G13)</f>
        <v>734200033.6799612</v>
      </c>
      <c r="H14" s="88">
        <f t="shared" si="38"/>
        <v>0</v>
      </c>
      <c r="I14" s="88">
        <f t="shared" si="38"/>
        <v>348027658.99024224</v>
      </c>
      <c r="J14" s="88">
        <f t="shared" si="38"/>
        <v>348027658.99024224</v>
      </c>
      <c r="K14" s="88">
        <f t="shared" si="38"/>
        <v>130510372.12134084</v>
      </c>
      <c r="L14" s="88">
        <f t="shared" si="38"/>
        <v>130510372.12134084</v>
      </c>
      <c r="M14" s="88">
        <f t="shared" si="38"/>
        <v>870069147.47560561</v>
      </c>
      <c r="N14" s="88">
        <f t="shared" si="38"/>
        <v>870069147.47560561</v>
      </c>
      <c r="O14" s="88">
        <f t="shared" si="38"/>
        <v>1024053603.1456622</v>
      </c>
      <c r="P14" s="88">
        <f t="shared" si="38"/>
        <v>4455467994</v>
      </c>
      <c r="Q14" s="88"/>
      <c r="R14" s="88">
        <f>SUM(R12:R13)</f>
        <v>13215636453</v>
      </c>
      <c r="S14" s="88">
        <f t="shared" si="38"/>
        <v>2912911243.5421276</v>
      </c>
      <c r="T14" s="88">
        <f t="shared" ref="T14" si="39">SUM(T12:T13)</f>
        <v>4036683326.6739349</v>
      </c>
      <c r="U14" s="88">
        <f t="shared" ref="U14" si="40">SUM(U12:U13)</f>
        <v>0</v>
      </c>
      <c r="V14" s="88">
        <f t="shared" ref="V14" si="41">SUM(V12:V13)</f>
        <v>0</v>
      </c>
      <c r="W14" s="88">
        <f t="shared" ref="W14" si="42">SUM(W12:W13)</f>
        <v>0</v>
      </c>
      <c r="X14" s="88">
        <f t="shared" ref="X14" si="43">SUM(X12:X13)</f>
        <v>0</v>
      </c>
      <c r="Y14" s="88">
        <f t="shared" ref="Y14" si="44">SUM(Y12:Y13)</f>
        <v>0</v>
      </c>
      <c r="Z14" s="88">
        <f t="shared" ref="Z14" si="45">SUM(Z12:Z13)</f>
        <v>0</v>
      </c>
      <c r="AA14" s="88">
        <f t="shared" ref="AA14" si="46">SUM(AA12:AA13)</f>
        <v>194043203.32018554</v>
      </c>
      <c r="AB14" s="88">
        <f t="shared" ref="AB14" si="47">SUM(AB12:AB13)</f>
        <v>626724135.51594889</v>
      </c>
      <c r="AC14" s="88">
        <f t="shared" ref="AC14" si="48">SUM(AC12:AC13)</f>
        <v>535767107.35148048</v>
      </c>
      <c r="AD14" s="88">
        <f t="shared" ref="AD14" si="49">SUM(AD12:AD13)</f>
        <v>911541925.63191235</v>
      </c>
      <c r="AE14" s="88">
        <f t="shared" ref="AE14" si="50">SUM(AE12:AE13)</f>
        <v>911541925.63191235</v>
      </c>
      <c r="AF14" s="88">
        <f t="shared" ref="AF14" si="51">SUM(AF12:AF13)</f>
        <v>321227342.27409464</v>
      </c>
      <c r="AG14" s="88">
        <f t="shared" ref="AG14" si="52">SUM(AG12:AG13)</f>
        <v>773573823.17428851</v>
      </c>
      <c r="AH14" s="88">
        <f t="shared" ref="AH14" si="53">SUM(AH12:AH13)</f>
        <v>833940339.6823566</v>
      </c>
      <c r="AI14" s="88">
        <f t="shared" ref="AI14" si="54">SUM(AI12:AI13)</f>
        <v>578841040.16049814</v>
      </c>
      <c r="AJ14" s="88">
        <f t="shared" ref="AJ14" si="55">SUM(AJ12:AJ13)</f>
        <v>578841040.16049814</v>
      </c>
      <c r="AK14" s="88">
        <f t="shared" ref="AK14" si="56">SUM(AK12:AK13)</f>
        <v>13215636453.119238</v>
      </c>
      <c r="AL14" s="88">
        <f t="shared" ref="AL14" si="57">SUM(AL12:AL13)</f>
        <v>17671104447</v>
      </c>
      <c r="AM14" s="92">
        <f>SUM(AM12:AM13)</f>
        <v>1</v>
      </c>
    </row>
    <row r="15" spans="1:39" s="71" customFormat="1" x14ac:dyDescent="0.2">
      <c r="A15" s="98" t="s">
        <v>14</v>
      </c>
      <c r="B15" s="99" t="s">
        <v>5</v>
      </c>
      <c r="C15" s="126" t="s">
        <v>114</v>
      </c>
      <c r="D15" s="79" t="s">
        <v>91</v>
      </c>
      <c r="E15" s="80" t="s">
        <v>86</v>
      </c>
      <c r="F15" s="70">
        <v>3064907920</v>
      </c>
      <c r="G15" s="94">
        <f>+VLOOKUP($A$15,RESUMIDO!$A$5:$W$14,6,0)</f>
        <v>503150304.36348867</v>
      </c>
      <c r="H15" s="94">
        <f>+VLOOKUP($A$15,RESUMIDO!$A$5:$W$14,7,0)</f>
        <v>0</v>
      </c>
      <c r="I15" s="94">
        <f>+VLOOKUP($A$15,RESUMIDO!$A$5:$W$14,8,0)</f>
        <v>240934792.25741291</v>
      </c>
      <c r="J15" s="94">
        <f>+VLOOKUP($A$15,RESUMIDO!$A$5:$W$14,9,0)</f>
        <v>240934792.25741291</v>
      </c>
      <c r="K15" s="94">
        <f>+VLOOKUP($A$15,RESUMIDO!$A$5:$W$14,10,0)</f>
        <v>90350547.096529841</v>
      </c>
      <c r="L15" s="94">
        <f>+VLOOKUP($A$15,RESUMIDO!$A$5:$W$14,11,0)</f>
        <v>90350547.096529841</v>
      </c>
      <c r="M15" s="94">
        <f>+VLOOKUP($A$15,RESUMIDO!$A$5:$W$14,12,0)</f>
        <v>602336980.64353228</v>
      </c>
      <c r="N15" s="94">
        <f>+VLOOKUP($A$15,RESUMIDO!$A$5:$W$14,13,0)</f>
        <v>602336980.64353228</v>
      </c>
      <c r="O15" s="94">
        <f>+VLOOKUP($A$15,RESUMIDO!$A$5:$W$14,14,0)</f>
        <v>694512975.64156103</v>
      </c>
      <c r="P15" s="94">
        <f>SUM(G15:O15)</f>
        <v>3064907920</v>
      </c>
      <c r="Q15" s="70"/>
      <c r="R15" s="70">
        <f>4722471963+1127329</f>
        <v>4723599292</v>
      </c>
      <c r="S15" s="94">
        <f>+VLOOKUP($A$15,RESUMIDO!$A$16:$W$27,6,0)*AM$15</f>
        <v>1042477711.0858352</v>
      </c>
      <c r="T15" s="94">
        <f>+VLOOKUP($A$15,RESUMIDO!$A$16:$W$27,7,0)*AM$15</f>
        <v>1444655206.7450724</v>
      </c>
      <c r="U15" s="94">
        <f>+VLOOKUP($A$15,RESUMIDO!$A$16:$W$27,8,0)*AM$15</f>
        <v>0</v>
      </c>
      <c r="V15" s="94">
        <f>+VLOOKUP($A$15,RESUMIDO!$A$16:$W$27,9,0)*AM$15</f>
        <v>0</v>
      </c>
      <c r="W15" s="94">
        <f>+VLOOKUP($A$15,RESUMIDO!$A$16:$W$27,10,0)*AM$15</f>
        <v>0</v>
      </c>
      <c r="X15" s="94">
        <f>+VLOOKUP($A$15,RESUMIDO!$A$16:$W$27,11,0)*AM$15</f>
        <v>0</v>
      </c>
      <c r="Y15" s="94">
        <f>+VLOOKUP($A$15,RESUMIDO!$A$16:$W$27,12,0)*AM$15</f>
        <v>0</v>
      </c>
      <c r="Z15" s="94">
        <f>+VLOOKUP($A$15,RESUMIDO!$A$16:$W$27,13,0)*AM$15</f>
        <v>0</v>
      </c>
      <c r="AA15" s="94">
        <f>+VLOOKUP($A$15,RESUMIDO!$A$16:$W$27,14,0)*AM$15</f>
        <v>77685299.615964845</v>
      </c>
      <c r="AB15" s="94">
        <f>+VLOOKUP($A$15,RESUMIDO!$A$16:$W$27,15,0)*AM$15</f>
        <v>226578326.8041245</v>
      </c>
      <c r="AC15" s="94">
        <f>+VLOOKUP($A$15,RESUMIDO!$A$16:$W$27,16,0)*AM$15</f>
        <v>191741258.50387338</v>
      </c>
      <c r="AD15" s="94">
        <f>+VLOOKUP($A$15,RESUMIDO!$A$16:$W$27,17,0)*AM$15</f>
        <v>326224200.03295493</v>
      </c>
      <c r="AE15" s="94">
        <f>+VLOOKUP($A$15,RESUMIDO!$A$16:$W$27,18,0)*AM$15</f>
        <v>326224200.03295493</v>
      </c>
      <c r="AF15" s="94">
        <f>+VLOOKUP($A$15,RESUMIDO!$A$16:$W$27,19,0)*AM$15</f>
        <v>114961396.52538</v>
      </c>
      <c r="AG15" s="94">
        <f>+VLOOKUP($A$15,RESUMIDO!$A$16:$W$27,20,0)*AM$15</f>
        <v>272214791.23662537</v>
      </c>
      <c r="AH15" s="94">
        <f>+VLOOKUP($A$15,RESUMIDO!$A$16:$W$27,21,0)*AM$15</f>
        <v>293457312.88956362</v>
      </c>
      <c r="AI15" s="94">
        <f>+VLOOKUP($A$15,RESUMIDO!$A$16:$W$27,22,0)*AM$15</f>
        <v>203689794.28480521</v>
      </c>
      <c r="AJ15" s="94">
        <f>+VLOOKUP($A$15,RESUMIDO!$A$16:$W$27,23,0)*AM$15</f>
        <v>203689794.28480521</v>
      </c>
      <c r="AK15" s="94">
        <f>SUM(S15:AJ15)</f>
        <v>4723599292.0419607</v>
      </c>
      <c r="AL15" s="70">
        <f>+F15+R15</f>
        <v>7788507212</v>
      </c>
      <c r="AM15" s="93">
        <f>+R15/R17</f>
        <v>0.52222323013615402</v>
      </c>
    </row>
    <row r="16" spans="1:39" s="71" customFormat="1" x14ac:dyDescent="0.2">
      <c r="A16" s="98" t="s">
        <v>14</v>
      </c>
      <c r="B16" s="99" t="s">
        <v>5</v>
      </c>
      <c r="C16" s="126"/>
      <c r="D16" s="79" t="s">
        <v>92</v>
      </c>
      <c r="E16" s="80" t="s">
        <v>88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/>
      <c r="R16" s="70">
        <v>4321573384</v>
      </c>
      <c r="S16" s="94">
        <f>+VLOOKUP($A$16,RESUMIDO!$A$16:$W$27,6,0)*AM$16</f>
        <v>953752350.93963313</v>
      </c>
      <c r="T16" s="94">
        <f>+VLOOKUP($A$16,RESUMIDO!$A$16:$W$27,7,0)*AM$16</f>
        <v>1321700488.2484689</v>
      </c>
      <c r="U16" s="94">
        <f>+VLOOKUP($A$16,RESUMIDO!$A$16:$W$27,8,0)*AM$16</f>
        <v>0</v>
      </c>
      <c r="V16" s="94">
        <f>+VLOOKUP($A$16,RESUMIDO!$A$16:$W$27,9,0)*AM$16</f>
        <v>0</v>
      </c>
      <c r="W16" s="94">
        <f>+VLOOKUP($A$16,RESUMIDO!$A$16:$W$27,10,0)*AM$16</f>
        <v>0</v>
      </c>
      <c r="X16" s="94">
        <f>+VLOOKUP($A$16,RESUMIDO!$A$16:$W$27,11,0)*AM$16</f>
        <v>0</v>
      </c>
      <c r="Y16" s="94">
        <f>+VLOOKUP($A$16,RESUMIDO!$A$16:$W$27,12,0)*AM$16</f>
        <v>0</v>
      </c>
      <c r="Z16" s="94">
        <f>+VLOOKUP($A$16,RESUMIDO!$A$16:$W$27,13,0)*AM$16</f>
        <v>0</v>
      </c>
      <c r="AA16" s="94">
        <f>+VLOOKUP($A$16,RESUMIDO!$A$16:$W$27,14,0)*AM$16</f>
        <v>71073497.64341931</v>
      </c>
      <c r="AB16" s="94">
        <f>+VLOOKUP($A$16,RESUMIDO!$A$16:$W$27,15,0)*AM$16</f>
        <v>207294227.55361828</v>
      </c>
      <c r="AC16" s="94">
        <f>+VLOOKUP($A$16,RESUMIDO!$A$16:$W$27,16,0)*AM$16</f>
        <v>175422144.88184467</v>
      </c>
      <c r="AD16" s="94">
        <f>+VLOOKUP($A$16,RESUMIDO!$A$16:$W$27,17,0)*AM$16</f>
        <v>298459232.65904117</v>
      </c>
      <c r="AE16" s="94">
        <f>+VLOOKUP($A$16,RESUMIDO!$A$16:$W$27,18,0)*AM$16</f>
        <v>298459232.65904117</v>
      </c>
      <c r="AF16" s="94">
        <f>+VLOOKUP($A$16,RESUMIDO!$A$16:$W$27,19,0)*AM$16</f>
        <v>105177023.00721581</v>
      </c>
      <c r="AG16" s="94">
        <f>+VLOOKUP($A$16,RESUMIDO!$A$16:$W$27,20,0)*AM$16</f>
        <v>249046568.90174598</v>
      </c>
      <c r="AH16" s="94">
        <f>+VLOOKUP($A$16,RESUMIDO!$A$16:$W$27,21,0)*AM$16</f>
        <v>268481137.86271995</v>
      </c>
      <c r="AI16" s="94">
        <f>+VLOOKUP($A$16,RESUMIDO!$A$16:$W$27,22,0)*AM$16</f>
        <v>186353739.84081998</v>
      </c>
      <c r="AJ16" s="94">
        <f>+VLOOKUP($A$16,RESUMIDO!$A$16:$W$27,23,0)*AM$16</f>
        <v>186353739.84081998</v>
      </c>
      <c r="AK16" s="94">
        <f>SUM(S16:AJ16)</f>
        <v>4321573384.0383883</v>
      </c>
      <c r="AL16" s="70">
        <f>+F16+R16</f>
        <v>4321573384</v>
      </c>
      <c r="AM16" s="93">
        <f>+R16/R17</f>
        <v>0.47777676986384598</v>
      </c>
    </row>
    <row r="17" spans="1:39" s="89" customFormat="1" x14ac:dyDescent="0.2">
      <c r="A17" s="124" t="s">
        <v>125</v>
      </c>
      <c r="B17" s="124"/>
      <c r="C17" s="124"/>
      <c r="D17" s="124"/>
      <c r="E17" s="124"/>
      <c r="F17" s="88">
        <f>SUM(F15:F16)</f>
        <v>3064907920</v>
      </c>
      <c r="G17" s="88">
        <f t="shared" ref="G17:S17" si="58">SUM(G15:G16)</f>
        <v>503150304.36348867</v>
      </c>
      <c r="H17" s="88">
        <f t="shared" si="58"/>
        <v>0</v>
      </c>
      <c r="I17" s="88">
        <f t="shared" si="58"/>
        <v>240934792.25741291</v>
      </c>
      <c r="J17" s="88">
        <f t="shared" si="58"/>
        <v>240934792.25741291</v>
      </c>
      <c r="K17" s="88">
        <f t="shared" si="58"/>
        <v>90350547.096529841</v>
      </c>
      <c r="L17" s="88">
        <f t="shared" si="58"/>
        <v>90350547.096529841</v>
      </c>
      <c r="M17" s="88">
        <f t="shared" si="58"/>
        <v>602336980.64353228</v>
      </c>
      <c r="N17" s="88">
        <f t="shared" si="58"/>
        <v>602336980.64353228</v>
      </c>
      <c r="O17" s="88">
        <f t="shared" si="58"/>
        <v>694512975.64156103</v>
      </c>
      <c r="P17" s="88">
        <f t="shared" si="58"/>
        <v>3064907920</v>
      </c>
      <c r="Q17" s="88"/>
      <c r="R17" s="88">
        <f>SUM(R15:R16)</f>
        <v>9045172676</v>
      </c>
      <c r="S17" s="88">
        <f t="shared" si="58"/>
        <v>1996230062.0254683</v>
      </c>
      <c r="T17" s="88">
        <f t="shared" ref="T17" si="59">SUM(T15:T16)</f>
        <v>2766355694.9935412</v>
      </c>
      <c r="U17" s="88">
        <f t="shared" ref="U17" si="60">SUM(U15:U16)</f>
        <v>0</v>
      </c>
      <c r="V17" s="88">
        <f t="shared" ref="V17" si="61">SUM(V15:V16)</f>
        <v>0</v>
      </c>
      <c r="W17" s="88">
        <f t="shared" ref="W17" si="62">SUM(W15:W16)</f>
        <v>0</v>
      </c>
      <c r="X17" s="88">
        <f t="shared" ref="X17" si="63">SUM(X15:X16)</f>
        <v>0</v>
      </c>
      <c r="Y17" s="88">
        <f t="shared" ref="Y17" si="64">SUM(Y15:Y16)</f>
        <v>0</v>
      </c>
      <c r="Z17" s="88">
        <f t="shared" ref="Z17" si="65">SUM(Z15:Z16)</f>
        <v>0</v>
      </c>
      <c r="AA17" s="88">
        <f t="shared" ref="AA17" si="66">SUM(AA15:AA16)</f>
        <v>148758797.25938416</v>
      </c>
      <c r="AB17" s="88">
        <f t="shared" ref="AB17" si="67">SUM(AB15:AB16)</f>
        <v>433872554.35774279</v>
      </c>
      <c r="AC17" s="88">
        <f t="shared" ref="AC17" si="68">SUM(AC15:AC16)</f>
        <v>367163403.38571805</v>
      </c>
      <c r="AD17" s="88">
        <f t="shared" ref="AD17" si="69">SUM(AD15:AD16)</f>
        <v>624683432.6919961</v>
      </c>
      <c r="AE17" s="88">
        <f t="shared" ref="AE17" si="70">SUM(AE15:AE16)</f>
        <v>624683432.6919961</v>
      </c>
      <c r="AF17" s="88">
        <f t="shared" ref="AF17" si="71">SUM(AF15:AF16)</f>
        <v>220138419.53259581</v>
      </c>
      <c r="AG17" s="88">
        <f t="shared" ref="AG17" si="72">SUM(AG15:AG16)</f>
        <v>521261360.13837135</v>
      </c>
      <c r="AH17" s="88">
        <f t="shared" ref="AH17" si="73">SUM(AH15:AH16)</f>
        <v>561938450.75228357</v>
      </c>
      <c r="AI17" s="88">
        <f t="shared" ref="AI17" si="74">SUM(AI15:AI16)</f>
        <v>390043534.12562519</v>
      </c>
      <c r="AJ17" s="88">
        <f t="shared" ref="AJ17" si="75">SUM(AJ15:AJ16)</f>
        <v>390043534.12562519</v>
      </c>
      <c r="AK17" s="88">
        <f t="shared" ref="AK17" si="76">SUM(AK15:AK16)</f>
        <v>9045172676.080349</v>
      </c>
      <c r="AL17" s="88">
        <f t="shared" ref="AL17" si="77">SUM(AL15:AL16)</f>
        <v>12110080596</v>
      </c>
      <c r="AM17" s="92">
        <f>SUM(AM15:AM16)</f>
        <v>1</v>
      </c>
    </row>
    <row r="18" spans="1:39" s="71" customFormat="1" ht="12.75" customHeight="1" x14ac:dyDescent="0.2">
      <c r="A18" s="98" t="s">
        <v>17</v>
      </c>
      <c r="B18" s="99" t="s">
        <v>9</v>
      </c>
      <c r="C18" s="126" t="s">
        <v>115</v>
      </c>
      <c r="D18" s="79" t="s">
        <v>93</v>
      </c>
      <c r="E18" s="80" t="s">
        <v>86</v>
      </c>
      <c r="F18" s="70">
        <v>766226980</v>
      </c>
      <c r="G18" s="94">
        <f>+VLOOKUP($A$18,RESUMIDO!$A$5:$W$14,6,0)</f>
        <v>127240920.89214934</v>
      </c>
      <c r="H18" s="94">
        <f>+VLOOKUP($A$18,RESUMIDO!$A$5:$W$14,7,0)</f>
        <v>0</v>
      </c>
      <c r="I18" s="94">
        <f>+VLOOKUP($A$18,RESUMIDO!$A$5:$W$14,8,0)</f>
        <v>59068249.155918308</v>
      </c>
      <c r="J18" s="94">
        <f>+VLOOKUP($A$18,RESUMIDO!$A$5:$W$14,9,0)</f>
        <v>59068249.155918308</v>
      </c>
      <c r="K18" s="94">
        <f>+VLOOKUP($A$18,RESUMIDO!$A$5:$W$14,10,0)</f>
        <v>22150593.433469366</v>
      </c>
      <c r="L18" s="94">
        <f>+VLOOKUP($A$18,RESUMIDO!$A$5:$W$14,11,0)</f>
        <v>22150593.433469366</v>
      </c>
      <c r="M18" s="94">
        <f>+VLOOKUP($A$18,RESUMIDO!$A$5:$W$14,12,0)</f>
        <v>147670622.88979578</v>
      </c>
      <c r="N18" s="94">
        <f>+VLOOKUP($A$18,RESUMIDO!$A$5:$W$14,13,0)</f>
        <v>147670622.88979578</v>
      </c>
      <c r="O18" s="94">
        <f>+VLOOKUP($A$18,RESUMIDO!$A$5:$W$14,14,0)</f>
        <v>181207128.14948374</v>
      </c>
      <c r="P18" s="94">
        <f>SUM(G18:O18)</f>
        <v>766226980</v>
      </c>
      <c r="Q18" s="70"/>
      <c r="R18" s="70">
        <v>1203396851</v>
      </c>
      <c r="S18" s="94">
        <f>+VLOOKUP($A$18,RESUMIDO!$A$19:$W$27,6,0)*AM$18</f>
        <v>264560500.17860758</v>
      </c>
      <c r="T18" s="94">
        <f>+VLOOKUP($A$18,RESUMIDO!$A$19:$W$27,7,0)*AM$18</f>
        <v>366625300.49108821</v>
      </c>
      <c r="U18" s="94">
        <f>+VLOOKUP($A$18,RESUMIDO!$A$19:$W$27,8,0)*AM$18</f>
        <v>0</v>
      </c>
      <c r="V18" s="94">
        <f>+VLOOKUP($A$18,RESUMIDO!$A$19:$W$27,9,0)*AM$18</f>
        <v>0</v>
      </c>
      <c r="W18" s="94">
        <f>+VLOOKUP($A$18,RESUMIDO!$A$19:$W$27,10,0)*AM$18</f>
        <v>0</v>
      </c>
      <c r="X18" s="94">
        <f>+VLOOKUP($A$18,RESUMIDO!$A$19:$W$27,11,0)*AM$18</f>
        <v>0</v>
      </c>
      <c r="Y18" s="94">
        <f>+VLOOKUP($A$18,RESUMIDO!$A$19:$W$27,12,0)*AM$18</f>
        <v>0</v>
      </c>
      <c r="Z18" s="94">
        <f>+VLOOKUP($A$18,RESUMIDO!$A$19:$W$27,13,0)*AM$18</f>
        <v>0</v>
      </c>
      <c r="AA18" s="94">
        <f>+VLOOKUP($A$18,RESUMIDO!$A$19:$W$27,14,0)*AM$18</f>
        <v>13380299.266531495</v>
      </c>
      <c r="AB18" s="94">
        <f>+VLOOKUP($A$18,RESUMIDO!$A$19:$W$27,15,0)*AM$18</f>
        <v>55744510.39951136</v>
      </c>
      <c r="AC18" s="94">
        <f>+VLOOKUP($A$18,RESUMIDO!$A$19:$W$27,16,0)*AM$18</f>
        <v>48660189.772137664</v>
      </c>
      <c r="AD18" s="94">
        <f>+VLOOKUP($A$18,RESUMIDO!$A$19:$W$27,17,0)*AM$18</f>
        <v>82789336.034042507</v>
      </c>
      <c r="AE18" s="94">
        <f>+VLOOKUP($A$18,RESUMIDO!$A$19:$W$27,18,0)*AM$18</f>
        <v>82789336.034042507</v>
      </c>
      <c r="AF18" s="94">
        <f>+VLOOKUP($A$18,RESUMIDO!$A$19:$W$27,19,0)*AM$18</f>
        <v>29174959.083112273</v>
      </c>
      <c r="AG18" s="94">
        <f>+VLOOKUP($A$18,RESUMIDO!$A$19:$W$27,20,0)*AM$18</f>
        <v>72644314.853303656</v>
      </c>
      <c r="AH18" s="94">
        <f>+VLOOKUP($A$18,RESUMIDO!$A$19:$W$27,21,0)*AM$18</f>
        <v>78313178.121989056</v>
      </c>
      <c r="AI18" s="94">
        <f>+VLOOKUP($A$18,RESUMIDO!$A$19:$W$27,22,0)*AM$18</f>
        <v>54357463.388415553</v>
      </c>
      <c r="AJ18" s="94">
        <f>+VLOOKUP($A$18,RESUMIDO!$A$19:$W$27,23,0)*AM$18</f>
        <v>54357463.388415553</v>
      </c>
      <c r="AK18" s="94">
        <f>SUM(S18:AJ18)</f>
        <v>1203396851.0111973</v>
      </c>
      <c r="AL18" s="70">
        <f>+F18+R18</f>
        <v>1969623831</v>
      </c>
      <c r="AM18" s="93">
        <f>+R18/R20</f>
        <v>0.52406523114572845</v>
      </c>
    </row>
    <row r="19" spans="1:39" s="71" customFormat="1" x14ac:dyDescent="0.2">
      <c r="A19" s="98" t="s">
        <v>17</v>
      </c>
      <c r="B19" s="99" t="s">
        <v>9</v>
      </c>
      <c r="C19" s="126"/>
      <c r="D19" s="79" t="s">
        <v>94</v>
      </c>
      <c r="E19" s="80" t="s">
        <v>88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/>
      <c r="R19" s="70">
        <v>1092876169</v>
      </c>
      <c r="S19" s="94">
        <f>+VLOOKUP($A$19,RESUMIDO!$A$19:$W$27,6,0)*AM$19</f>
        <v>240263106.60831246</v>
      </c>
      <c r="T19" s="94">
        <f>+VLOOKUP($A$19,RESUMIDO!$A$19:$W$27,7,0)*AM$19</f>
        <v>332954215.00082874</v>
      </c>
      <c r="U19" s="94">
        <f>+VLOOKUP($A$19,RESUMIDO!$A$19:$W$27,8,0)*AM$19</f>
        <v>0</v>
      </c>
      <c r="V19" s="94">
        <f>+VLOOKUP($A$19,RESUMIDO!$A$19:$W$27,9,0)*AM$19</f>
        <v>0</v>
      </c>
      <c r="W19" s="94">
        <f>+VLOOKUP($A$19,RESUMIDO!$A$19:$W$27,10,0)*AM$19</f>
        <v>0</v>
      </c>
      <c r="X19" s="94">
        <f>+VLOOKUP($A$19,RESUMIDO!$A$19:$W$27,11,0)*AM$19</f>
        <v>0</v>
      </c>
      <c r="Y19" s="94">
        <f>+VLOOKUP($A$19,RESUMIDO!$A$19:$W$27,12,0)*AM$19</f>
        <v>0</v>
      </c>
      <c r="Z19" s="94">
        <f>+VLOOKUP($A$19,RESUMIDO!$A$19:$W$27,13,0)*AM$19</f>
        <v>0</v>
      </c>
      <c r="AA19" s="94">
        <f>+VLOOKUP($A$19,RESUMIDO!$A$19:$W$27,14,0)*AM$19</f>
        <v>12151444.629698845</v>
      </c>
      <c r="AB19" s="94">
        <f>+VLOOKUP($A$19,RESUMIDO!$A$19:$W$27,15,0)*AM$19</f>
        <v>50624901.434280582</v>
      </c>
      <c r="AC19" s="94">
        <f>+VLOOKUP($A$19,RESUMIDO!$A$19:$W$27,16,0)*AM$19</f>
        <v>44191209.02368623</v>
      </c>
      <c r="AD19" s="94">
        <f>+VLOOKUP($A$19,RESUMIDO!$A$19:$W$27,17,0)*AM$19</f>
        <v>75185914.209225431</v>
      </c>
      <c r="AE19" s="94">
        <f>+VLOOKUP($A$19,RESUMIDO!$A$19:$W$27,18,0)*AM$19</f>
        <v>75185914.209225431</v>
      </c>
      <c r="AF19" s="94">
        <f>+VLOOKUP($A$19,RESUMIDO!$A$19:$W$27,19,0)*AM$19</f>
        <v>26495513.501624987</v>
      </c>
      <c r="AG19" s="94">
        <f>+VLOOKUP($A$19,RESUMIDO!$A$19:$W$27,20,0)*AM$19</f>
        <v>65972617.803125948</v>
      </c>
      <c r="AH19" s="94">
        <f>+VLOOKUP($A$19,RESUMIDO!$A$19:$W$27,21,0)*AM$19</f>
        <v>71120849.300090134</v>
      </c>
      <c r="AI19" s="94">
        <f>+VLOOKUP($A$19,RESUMIDO!$A$19:$W$27,22,0)*AM$19</f>
        <v>49365241.64503514</v>
      </c>
      <c r="AJ19" s="94">
        <f>+VLOOKUP($A$19,RESUMIDO!$A$19:$W$27,23,0)*AM$19</f>
        <v>49365241.64503514</v>
      </c>
      <c r="AK19" s="94">
        <f>SUM(S19:AJ19)</f>
        <v>1092876169.010169</v>
      </c>
      <c r="AL19" s="70">
        <f>+F19+R19</f>
        <v>1092876169</v>
      </c>
      <c r="AM19" s="93">
        <f>+R19/R20</f>
        <v>0.47593476885427149</v>
      </c>
    </row>
    <row r="20" spans="1:39" s="89" customFormat="1" x14ac:dyDescent="0.2">
      <c r="A20" s="124" t="s">
        <v>129</v>
      </c>
      <c r="B20" s="124"/>
      <c r="C20" s="124"/>
      <c r="D20" s="124"/>
      <c r="E20" s="124"/>
      <c r="F20" s="88">
        <f>SUM(F18:F19)</f>
        <v>766226980</v>
      </c>
      <c r="G20" s="88">
        <f t="shared" ref="G20:S20" si="78">SUM(G18:G19)</f>
        <v>127240920.89214934</v>
      </c>
      <c r="H20" s="88">
        <f t="shared" si="78"/>
        <v>0</v>
      </c>
      <c r="I20" s="88">
        <f t="shared" si="78"/>
        <v>59068249.155918308</v>
      </c>
      <c r="J20" s="88">
        <f t="shared" si="78"/>
        <v>59068249.155918308</v>
      </c>
      <c r="K20" s="88">
        <f t="shared" si="78"/>
        <v>22150593.433469366</v>
      </c>
      <c r="L20" s="88">
        <f t="shared" si="78"/>
        <v>22150593.433469366</v>
      </c>
      <c r="M20" s="88">
        <f t="shared" si="78"/>
        <v>147670622.88979578</v>
      </c>
      <c r="N20" s="88">
        <f t="shared" si="78"/>
        <v>147670622.88979578</v>
      </c>
      <c r="O20" s="88">
        <f t="shared" si="78"/>
        <v>181207128.14948374</v>
      </c>
      <c r="P20" s="88">
        <f t="shared" si="78"/>
        <v>766226980</v>
      </c>
      <c r="Q20" s="88"/>
      <c r="R20" s="88">
        <f>SUM(R18:R19)</f>
        <v>2296273020</v>
      </c>
      <c r="S20" s="88">
        <f t="shared" si="78"/>
        <v>504823606.78692007</v>
      </c>
      <c r="T20" s="88">
        <f t="shared" ref="T20" si="79">SUM(T18:T19)</f>
        <v>699579515.49191689</v>
      </c>
      <c r="U20" s="88">
        <f t="shared" ref="U20" si="80">SUM(U18:U19)</f>
        <v>0</v>
      </c>
      <c r="V20" s="88">
        <f t="shared" ref="V20" si="81">SUM(V18:V19)</f>
        <v>0</v>
      </c>
      <c r="W20" s="88">
        <f t="shared" ref="W20" si="82">SUM(W18:W19)</f>
        <v>0</v>
      </c>
      <c r="X20" s="88">
        <f t="shared" ref="X20" si="83">SUM(X18:X19)</f>
        <v>0</v>
      </c>
      <c r="Y20" s="88">
        <f t="shared" ref="Y20" si="84">SUM(Y18:Y19)</f>
        <v>0</v>
      </c>
      <c r="Z20" s="88">
        <f t="shared" ref="Z20" si="85">SUM(Z18:Z19)</f>
        <v>0</v>
      </c>
      <c r="AA20" s="88">
        <f t="shared" ref="AA20" si="86">SUM(AA18:AA19)</f>
        <v>25531743.89623034</v>
      </c>
      <c r="AB20" s="88">
        <f t="shared" ref="AB20" si="87">SUM(AB18:AB19)</f>
        <v>106369411.83379194</v>
      </c>
      <c r="AC20" s="88">
        <f t="shared" ref="AC20" si="88">SUM(AC18:AC19)</f>
        <v>92851398.795823902</v>
      </c>
      <c r="AD20" s="88">
        <f t="shared" ref="AD20" si="89">SUM(AD18:AD19)</f>
        <v>157975250.24326795</v>
      </c>
      <c r="AE20" s="88">
        <f t="shared" ref="AE20" si="90">SUM(AE18:AE19)</f>
        <v>157975250.24326795</v>
      </c>
      <c r="AF20" s="88">
        <f t="shared" ref="AF20" si="91">SUM(AF18:AF19)</f>
        <v>55670472.584737256</v>
      </c>
      <c r="AG20" s="88">
        <f t="shared" ref="AG20" si="92">SUM(AG18:AG19)</f>
        <v>138616932.65642959</v>
      </c>
      <c r="AH20" s="88">
        <f t="shared" ref="AH20" si="93">SUM(AH18:AH19)</f>
        <v>149434027.42207921</v>
      </c>
      <c r="AI20" s="88">
        <f t="shared" ref="AI20" si="94">SUM(AI18:AI19)</f>
        <v>103722705.03345069</v>
      </c>
      <c r="AJ20" s="88">
        <f t="shared" ref="AJ20" si="95">SUM(AJ18:AJ19)</f>
        <v>103722705.03345069</v>
      </c>
      <c r="AK20" s="88">
        <f t="shared" ref="AK20" si="96">SUM(AK18:AK19)</f>
        <v>2296273020.0213661</v>
      </c>
      <c r="AL20" s="88">
        <f t="shared" ref="AL20" si="97">SUM(AL18:AL19)</f>
        <v>3062500000</v>
      </c>
      <c r="AM20" s="92">
        <f>SUM(AM18:AM19)</f>
        <v>1</v>
      </c>
    </row>
    <row r="21" spans="1:39" s="71" customFormat="1" x14ac:dyDescent="0.2">
      <c r="A21" s="98" t="s">
        <v>20</v>
      </c>
      <c r="B21" s="99" t="s">
        <v>7</v>
      </c>
      <c r="C21" s="126" t="s">
        <v>116</v>
      </c>
      <c r="D21" s="79" t="s">
        <v>95</v>
      </c>
      <c r="E21" s="80" t="s">
        <v>86</v>
      </c>
      <c r="F21" s="70">
        <v>1638416724</v>
      </c>
      <c r="G21" s="94">
        <f>+VLOOKUP($A$21,RESUMIDO!$A$5:$W$14,6,0)</f>
        <v>347121001.63867009</v>
      </c>
      <c r="H21" s="94">
        <f>+VLOOKUP($A$21,RESUMIDO!$A$5:$W$14,7,0)</f>
        <v>0</v>
      </c>
      <c r="I21" s="94">
        <f>+VLOOKUP($A$21,RESUMIDO!$A$5:$W$14,8,0)</f>
        <v>131606363.51731086</v>
      </c>
      <c r="J21" s="94">
        <f>+VLOOKUP($A$21,RESUMIDO!$A$5:$W$14,9,0)</f>
        <v>131606363.51731086</v>
      </c>
      <c r="K21" s="94">
        <f>+VLOOKUP($A$21,RESUMIDO!$A$5:$W$14,10,0)</f>
        <v>49352386.318991572</v>
      </c>
      <c r="L21" s="94">
        <f>+VLOOKUP($A$21,RESUMIDO!$A$5:$W$14,11,0)</f>
        <v>49352386.318991572</v>
      </c>
      <c r="M21" s="94">
        <f>+VLOOKUP($A$21,RESUMIDO!$A$5:$W$14,12,0)</f>
        <v>329015908.79327714</v>
      </c>
      <c r="N21" s="94">
        <f>+VLOOKUP($A$21,RESUMIDO!$A$5:$W$14,13,0)</f>
        <v>329015908.79327714</v>
      </c>
      <c r="O21" s="94">
        <f>+VLOOKUP($A$21,RESUMIDO!$A$5:$W$14,14,0)</f>
        <v>271346405.10217094</v>
      </c>
      <c r="P21" s="94">
        <f>SUM(G21:O21)</f>
        <v>1638416724</v>
      </c>
      <c r="Q21" s="70"/>
      <c r="R21" s="70">
        <v>3728552266</v>
      </c>
      <c r="S21" s="94">
        <f>+VLOOKUP($A$21,RESUMIDO!$A$16:$W$27,6,0)*AM$21</f>
        <v>765265995.56947398</v>
      </c>
      <c r="T21" s="94">
        <f>+VLOOKUP($A$21,RESUMIDO!$A$16:$W$27,7,0)*AM$21</f>
        <v>1060497978.3144394</v>
      </c>
      <c r="U21" s="94">
        <f>+VLOOKUP($A$21,RESUMIDO!$A$16:$W$27,8,0)*AM$21</f>
        <v>0</v>
      </c>
      <c r="V21" s="94">
        <f>+VLOOKUP($A$21,RESUMIDO!$A$16:$W$27,9,0)*AM$21</f>
        <v>0</v>
      </c>
      <c r="W21" s="94">
        <f>+VLOOKUP($A$21,RESUMIDO!$A$16:$W$27,10,0)*AM$21</f>
        <v>0</v>
      </c>
      <c r="X21" s="94">
        <f>+VLOOKUP($A$21,RESUMIDO!$A$16:$W$27,11,0)*AM$21</f>
        <v>0</v>
      </c>
      <c r="Y21" s="94">
        <f>+VLOOKUP($A$21,RESUMIDO!$A$16:$W$27,12,0)*AM$21</f>
        <v>0</v>
      </c>
      <c r="Z21" s="94">
        <f>+VLOOKUP($A$21,RESUMIDO!$A$16:$W$27,13,0)*AM$21</f>
        <v>0</v>
      </c>
      <c r="AA21" s="94">
        <f>+VLOOKUP($A$21,RESUMIDO!$A$16:$W$27,14,0)*AM$21</f>
        <v>105175338.53075233</v>
      </c>
      <c r="AB21" s="94">
        <f>+VLOOKUP($A$21,RESUMIDO!$A$16:$W$27,15,0)*AM$21</f>
        <v>131691645.02591622</v>
      </c>
      <c r="AC21" s="94">
        <f>+VLOOKUP($A$21,RESUMIDO!$A$16:$W$27,16,0)*AM$21</f>
        <v>140754150.92364398</v>
      </c>
      <c r="AD21" s="94">
        <f>+VLOOKUP($A$21,RESUMIDO!$A$16:$W$27,17,0)*AM$21</f>
        <v>239475899.16051364</v>
      </c>
      <c r="AE21" s="94">
        <f>+VLOOKUP($A$21,RESUMIDO!$A$16:$W$27,18,0)*AM$21</f>
        <v>239475899.16051364</v>
      </c>
      <c r="AF21" s="94">
        <f>+VLOOKUP($A$21,RESUMIDO!$A$16:$W$27,19,0)*AM$21</f>
        <v>84391298.37358056</v>
      </c>
      <c r="AG21" s="94">
        <f>+VLOOKUP($A$21,RESUMIDO!$A$16:$W$27,20,0)*AM$21</f>
        <v>269073819.95439947</v>
      </c>
      <c r="AH21" s="94">
        <f>+VLOOKUP($A$21,RESUMIDO!$A$16:$W$27,21,0)*AM$21</f>
        <v>290071233.1392386</v>
      </c>
      <c r="AI21" s="94">
        <f>+VLOOKUP($A$21,RESUMIDO!$A$16:$W$27,22,0)*AM$21</f>
        <v>201339503.94450209</v>
      </c>
      <c r="AJ21" s="94">
        <f>+VLOOKUP($A$21,RESUMIDO!$A$16:$W$27,23,0)*AM$21</f>
        <v>201339503.94450209</v>
      </c>
      <c r="AK21" s="94">
        <f>SUM(S21:AJ21)</f>
        <v>3728552266.0414762</v>
      </c>
      <c r="AL21" s="70">
        <f>+F21+R21</f>
        <v>5366968990</v>
      </c>
      <c r="AM21" s="93">
        <f>+R21/R23</f>
        <v>0.55567220524178484</v>
      </c>
    </row>
    <row r="22" spans="1:39" s="71" customFormat="1" x14ac:dyDescent="0.2">
      <c r="A22" s="98" t="s">
        <v>20</v>
      </c>
      <c r="B22" s="99" t="s">
        <v>7</v>
      </c>
      <c r="C22" s="126"/>
      <c r="D22" s="79" t="s">
        <v>96</v>
      </c>
      <c r="E22" s="80" t="s">
        <v>88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/>
      <c r="R22" s="70">
        <v>2981432921</v>
      </c>
      <c r="S22" s="94">
        <f>+VLOOKUP($A$22,RESUMIDO!$A$16:$W$27,6,0)*AM$22</f>
        <v>611923628.72798467</v>
      </c>
      <c r="T22" s="94">
        <f>+VLOOKUP($A$22,RESUMIDO!$A$16:$W$27,7,0)*AM$22</f>
        <v>847997656.90091932</v>
      </c>
      <c r="U22" s="94">
        <f>+VLOOKUP($A$22,RESUMIDO!$A$16:$W$27,8,0)*AM$22</f>
        <v>0</v>
      </c>
      <c r="V22" s="94">
        <f>+VLOOKUP($A$22,RESUMIDO!$A$16:$W$27,9,0)*AM$22</f>
        <v>0</v>
      </c>
      <c r="W22" s="94">
        <f>+VLOOKUP($A$22,RESUMIDO!$A$16:$W$27,10,0)*AM$22</f>
        <v>0</v>
      </c>
      <c r="X22" s="94">
        <f>+VLOOKUP($A$22,RESUMIDO!$A$16:$W$27,11,0)*AM$22</f>
        <v>0</v>
      </c>
      <c r="Y22" s="94">
        <f>+VLOOKUP($A$22,RESUMIDO!$A$16:$W$27,12,0)*AM$22</f>
        <v>0</v>
      </c>
      <c r="Z22" s="94">
        <f>+VLOOKUP($A$22,RESUMIDO!$A$16:$W$27,13,0)*AM$22</f>
        <v>0</v>
      </c>
      <c r="AA22" s="94">
        <f>+VLOOKUP($A$22,RESUMIDO!$A$16:$W$27,14,0)*AM$22</f>
        <v>84100528.677664727</v>
      </c>
      <c r="AB22" s="94">
        <f>+VLOOKUP($A$22,RESUMIDO!$A$16:$W$27,15,0)*AM$22</f>
        <v>105303554.27258813</v>
      </c>
      <c r="AC22" s="94">
        <f>+VLOOKUP($A$22,RESUMIDO!$A$16:$W$27,16,0)*AM$22</f>
        <v>112550134.58115077</v>
      </c>
      <c r="AD22" s="94">
        <f>+VLOOKUP($A$22,RESUMIDO!$A$16:$W$27,17,0)*AM$22</f>
        <v>191490229.61375636</v>
      </c>
      <c r="AE22" s="94">
        <f>+VLOOKUP($A$22,RESUMIDO!$A$16:$W$27,18,0)*AM$22</f>
        <v>191490229.61375636</v>
      </c>
      <c r="AF22" s="94">
        <f>+VLOOKUP($A$22,RESUMIDO!$A$16:$W$27,19,0)*AM$22</f>
        <v>67481150.126628473</v>
      </c>
      <c r="AG22" s="94">
        <f>+VLOOKUP($A$22,RESUMIDO!$A$16:$W$27,20,0)*AM$22</f>
        <v>215157382.21148843</v>
      </c>
      <c r="AH22" s="94">
        <f>+VLOOKUP($A$22,RESUMIDO!$A$16:$W$27,21,0)*AM$22</f>
        <v>231947378.55832219</v>
      </c>
      <c r="AI22" s="94">
        <f>+VLOOKUP($A$22,RESUMIDO!$A$16:$W$27,22,0)*AM$22</f>
        <v>160995523.87445274</v>
      </c>
      <c r="AJ22" s="94">
        <f>+VLOOKUP($A$22,RESUMIDO!$A$16:$W$27,23,0)*AM$22</f>
        <v>160995523.87445274</v>
      </c>
      <c r="AK22" s="94">
        <f>SUM(S22:AJ22)</f>
        <v>2981432921.033165</v>
      </c>
      <c r="AL22" s="70">
        <f>+F22+R22</f>
        <v>2981432921</v>
      </c>
      <c r="AM22" s="93">
        <f>+R22/R23</f>
        <v>0.44432779475821516</v>
      </c>
    </row>
    <row r="23" spans="1:39" s="89" customFormat="1" x14ac:dyDescent="0.2">
      <c r="A23" s="124" t="s">
        <v>126</v>
      </c>
      <c r="B23" s="124"/>
      <c r="C23" s="124"/>
      <c r="D23" s="124"/>
      <c r="E23" s="124"/>
      <c r="F23" s="88">
        <f>SUM(F21:F22)</f>
        <v>1638416724</v>
      </c>
      <c r="G23" s="88">
        <f t="shared" ref="G23:S23" si="98">SUM(G21:G22)</f>
        <v>347121001.63867009</v>
      </c>
      <c r="H23" s="88">
        <f t="shared" si="98"/>
        <v>0</v>
      </c>
      <c r="I23" s="88">
        <f t="shared" si="98"/>
        <v>131606363.51731086</v>
      </c>
      <c r="J23" s="88">
        <f t="shared" si="98"/>
        <v>131606363.51731086</v>
      </c>
      <c r="K23" s="88">
        <f t="shared" si="98"/>
        <v>49352386.318991572</v>
      </c>
      <c r="L23" s="88">
        <f t="shared" si="98"/>
        <v>49352386.318991572</v>
      </c>
      <c r="M23" s="88">
        <f t="shared" si="98"/>
        <v>329015908.79327714</v>
      </c>
      <c r="N23" s="88">
        <f t="shared" si="98"/>
        <v>329015908.79327714</v>
      </c>
      <c r="O23" s="88">
        <f t="shared" si="98"/>
        <v>271346405.10217094</v>
      </c>
      <c r="P23" s="88">
        <f t="shared" si="98"/>
        <v>1638416724</v>
      </c>
      <c r="Q23" s="88"/>
      <c r="R23" s="88">
        <f>SUM(R21:R22)</f>
        <v>6709985187</v>
      </c>
      <c r="S23" s="88">
        <f t="shared" si="98"/>
        <v>1377189624.2974586</v>
      </c>
      <c r="T23" s="88">
        <f t="shared" ref="T23" si="99">SUM(T21:T22)</f>
        <v>1908495635.2153587</v>
      </c>
      <c r="U23" s="88">
        <f t="shared" ref="U23" si="100">SUM(U21:U22)</f>
        <v>0</v>
      </c>
      <c r="V23" s="88">
        <f t="shared" ref="V23" si="101">SUM(V21:V22)</f>
        <v>0</v>
      </c>
      <c r="W23" s="88">
        <f t="shared" ref="W23" si="102">SUM(W21:W22)</f>
        <v>0</v>
      </c>
      <c r="X23" s="88">
        <f t="shared" ref="X23" si="103">SUM(X21:X22)</f>
        <v>0</v>
      </c>
      <c r="Y23" s="88">
        <f t="shared" ref="Y23" si="104">SUM(Y21:Y22)</f>
        <v>0</v>
      </c>
      <c r="Z23" s="88">
        <f t="shared" ref="Z23" si="105">SUM(Z21:Z22)</f>
        <v>0</v>
      </c>
      <c r="AA23" s="88">
        <f t="shared" ref="AA23" si="106">SUM(AA21:AA22)</f>
        <v>189275867.20841706</v>
      </c>
      <c r="AB23" s="88">
        <f t="shared" ref="AB23" si="107">SUM(AB21:AB22)</f>
        <v>236995199.29850435</v>
      </c>
      <c r="AC23" s="88">
        <f t="shared" ref="AC23" si="108">SUM(AC21:AC22)</f>
        <v>253304285.50479475</v>
      </c>
      <c r="AD23" s="88">
        <f t="shared" ref="AD23" si="109">SUM(AD21:AD22)</f>
        <v>430966128.77427</v>
      </c>
      <c r="AE23" s="88">
        <f t="shared" ref="AE23" si="110">SUM(AE21:AE22)</f>
        <v>430966128.77427</v>
      </c>
      <c r="AF23" s="88">
        <f t="shared" ref="AF23" si="111">SUM(AF21:AF22)</f>
        <v>151872448.50020903</v>
      </c>
      <c r="AG23" s="88">
        <f t="shared" ref="AG23" si="112">SUM(AG21:AG22)</f>
        <v>484231202.16588789</v>
      </c>
      <c r="AH23" s="88">
        <f t="shared" ref="AH23" si="113">SUM(AH21:AH22)</f>
        <v>522018611.69756079</v>
      </c>
      <c r="AI23" s="88">
        <f t="shared" ref="AI23" si="114">SUM(AI21:AI22)</f>
        <v>362335027.81895483</v>
      </c>
      <c r="AJ23" s="88">
        <f t="shared" ref="AJ23" si="115">SUM(AJ21:AJ22)</f>
        <v>362335027.81895483</v>
      </c>
      <c r="AK23" s="88">
        <f t="shared" ref="AK23" si="116">SUM(AK21:AK22)</f>
        <v>6709985187.0746412</v>
      </c>
      <c r="AL23" s="88">
        <f t="shared" ref="AL23" si="117">SUM(AL21:AL22)</f>
        <v>8348401911</v>
      </c>
      <c r="AM23" s="92">
        <f>SUM(AM21:AM22)</f>
        <v>1</v>
      </c>
    </row>
    <row r="24" spans="1:39" s="71" customFormat="1" x14ac:dyDescent="0.2">
      <c r="A24" s="98" t="s">
        <v>11</v>
      </c>
      <c r="B24" s="99" t="s">
        <v>10</v>
      </c>
      <c r="C24" s="127" t="s">
        <v>120</v>
      </c>
      <c r="D24" s="79" t="s">
        <v>97</v>
      </c>
      <c r="E24" s="80" t="s">
        <v>86</v>
      </c>
      <c r="F24" s="70">
        <v>109227782</v>
      </c>
      <c r="G24" s="94">
        <f>+VLOOKUP($A$24,RESUMIDO!$A$5:$W$14,6,0)</f>
        <v>23119148.538304109</v>
      </c>
      <c r="H24" s="94">
        <f>+VLOOKUP($A$24,RESUMIDO!$A$5:$W$14,7,0)</f>
        <v>0</v>
      </c>
      <c r="I24" s="94">
        <f>+VLOOKUP($A$24,RESUMIDO!$A$5:$W$14,8,0)</f>
        <v>8791601.308418503</v>
      </c>
      <c r="J24" s="94">
        <f>+VLOOKUP($A$24,RESUMIDO!$A$5:$W$14,9,0)</f>
        <v>8791601.308418503</v>
      </c>
      <c r="K24" s="94">
        <f>+VLOOKUP($A$24,RESUMIDO!$A$5:$W$14,10,0)</f>
        <v>3296850.4906569384</v>
      </c>
      <c r="L24" s="94">
        <f>+VLOOKUP($A$24,RESUMIDO!$A$5:$W$14,11,0)</f>
        <v>3296850.4906569384</v>
      </c>
      <c r="M24" s="94">
        <f>+VLOOKUP($A$24,RESUMIDO!$A$5:$W$14,12,0)</f>
        <v>21979003.271046255</v>
      </c>
      <c r="N24" s="94">
        <f>+VLOOKUP($A$24,RESUMIDO!$A$5:$W$14,13,0)</f>
        <v>21979003.271046255</v>
      </c>
      <c r="O24" s="94">
        <f>+VLOOKUP($A$24,RESUMIDO!$A$5:$W$14,14,0)</f>
        <v>17973723.32145251</v>
      </c>
      <c r="P24" s="94">
        <f>SUM(G24:O24)</f>
        <v>109227782.00000001</v>
      </c>
      <c r="Q24" s="70"/>
      <c r="R24" s="70">
        <f>248644703+10</f>
        <v>248644713</v>
      </c>
      <c r="S24" s="94">
        <f>+VLOOKUP($A$24,RESUMIDO!$A$16:$W$27,6,0)*AM$24</f>
        <v>50997253.710015506</v>
      </c>
      <c r="T24" s="94">
        <f>+VLOOKUP($A$24,RESUMIDO!$A$16:$W$27,7,0)*AM$24</f>
        <v>70671485.172700509</v>
      </c>
      <c r="U24" s="94">
        <f>+VLOOKUP($A$24,RESUMIDO!$A$16:$W$27,8,0)*AM$24</f>
        <v>0</v>
      </c>
      <c r="V24" s="94">
        <f>+VLOOKUP($A$24,RESUMIDO!$A$16:$W$27,9,0)*AM$24</f>
        <v>0</v>
      </c>
      <c r="W24" s="94">
        <f>+VLOOKUP($A$24,RESUMIDO!$A$16:$W$27,10,0)*AM$24</f>
        <v>0</v>
      </c>
      <c r="X24" s="94">
        <f>+VLOOKUP($A$24,RESUMIDO!$A$16:$W$27,11,0)*AM$24</f>
        <v>0</v>
      </c>
      <c r="Y24" s="94">
        <f>+VLOOKUP($A$24,RESUMIDO!$A$16:$W$27,12,0)*AM$24</f>
        <v>0</v>
      </c>
      <c r="Z24" s="94">
        <f>+VLOOKUP($A$24,RESUMIDO!$A$16:$W$27,13,0)*AM$24</f>
        <v>0</v>
      </c>
      <c r="AA24" s="94">
        <f>+VLOOKUP($A$24,RESUMIDO!$A$16:$W$27,14,0)*AM$24</f>
        <v>7114858.0910420222</v>
      </c>
      <c r="AB24" s="94">
        <f>+VLOOKUP($A$24,RESUMIDO!$A$16:$W$27,15,0)*AM$24</f>
        <v>8802230.6987774614</v>
      </c>
      <c r="AC24" s="94">
        <f>+VLOOKUP($A$24,RESUMIDO!$A$16:$W$27,16,0)*AM$24</f>
        <v>9379843.3315324653</v>
      </c>
      <c r="AD24" s="94">
        <f>+VLOOKUP($A$24,RESUMIDO!$A$16:$W$27,17,0)*AM$24</f>
        <v>15958651.315526918</v>
      </c>
      <c r="AE24" s="94">
        <f>+VLOOKUP($A$24,RESUMIDO!$A$16:$W$27,18,0)*AM$24</f>
        <v>15958651.315526918</v>
      </c>
      <c r="AF24" s="94">
        <f>+VLOOKUP($A$24,RESUMIDO!$A$16:$W$27,19,0)*AM$24</f>
        <v>5623828.1577799385</v>
      </c>
      <c r="AG24" s="94">
        <f>+VLOOKUP($A$24,RESUMIDO!$A$16:$W$27,20,0)*AM$24</f>
        <v>17942816.647259619</v>
      </c>
      <c r="AH24" s="94">
        <f>+VLOOKUP($A$24,RESUMIDO!$A$16:$W$27,21,0)*AM$24</f>
        <v>19343000.191337481</v>
      </c>
      <c r="AI24" s="94">
        <f>+VLOOKUP($A$24,RESUMIDO!$A$16:$W$27,22,0)*AM$24</f>
        <v>13426047.185633447</v>
      </c>
      <c r="AJ24" s="94">
        <f>+VLOOKUP($A$24,RESUMIDO!$A$16:$W$27,23,0)*AM$24</f>
        <v>13426047.185633447</v>
      </c>
      <c r="AK24" s="94">
        <f>SUM(S24:AJ24)</f>
        <v>248644713.00276577</v>
      </c>
      <c r="AL24" s="70">
        <f>+F24+R24</f>
        <v>357872495</v>
      </c>
      <c r="AM24" s="93">
        <f>+R24/R26</f>
        <v>0.55598375475957029</v>
      </c>
    </row>
    <row r="25" spans="1:39" s="71" customFormat="1" x14ac:dyDescent="0.2">
      <c r="A25" s="98" t="s">
        <v>11</v>
      </c>
      <c r="B25" s="99" t="s">
        <v>10</v>
      </c>
      <c r="C25" s="127"/>
      <c r="D25" s="79" t="s">
        <v>98</v>
      </c>
      <c r="E25" s="80" t="s">
        <v>88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/>
      <c r="R25" s="70">
        <v>198571075</v>
      </c>
      <c r="S25" s="94">
        <f>+VLOOKUP($A$25,RESUMIDO!$A$16:$W$27,6,0)*AM$25</f>
        <v>40727105.632225998</v>
      </c>
      <c r="T25" s="94">
        <f>+VLOOKUP($A$25,RESUMIDO!$A$16:$W$27,7,0)*AM$25</f>
        <v>56439216.475878589</v>
      </c>
      <c r="U25" s="94">
        <f>+VLOOKUP($A$25,RESUMIDO!$A$16:$W$27,8,0)*AM$25</f>
        <v>0</v>
      </c>
      <c r="V25" s="94">
        <f>+VLOOKUP($A$25,RESUMIDO!$A$16:$W$27,9,0)*AM$25</f>
        <v>0</v>
      </c>
      <c r="W25" s="94">
        <f>+VLOOKUP($A$25,RESUMIDO!$A$16:$W$27,10,0)*AM$25</f>
        <v>0</v>
      </c>
      <c r="X25" s="94">
        <f>+VLOOKUP($A$25,RESUMIDO!$A$16:$W$27,11,0)*AM$25</f>
        <v>0</v>
      </c>
      <c r="Y25" s="94">
        <f>+VLOOKUP($A$25,RESUMIDO!$A$16:$W$27,12,0)*AM$25</f>
        <v>0</v>
      </c>
      <c r="Z25" s="94">
        <f>+VLOOKUP($A$25,RESUMIDO!$A$16:$W$27,13,0)*AM$25</f>
        <v>0</v>
      </c>
      <c r="AA25" s="94">
        <f>+VLOOKUP($A$25,RESUMIDO!$A$16:$W$27,14,0)*AM$25</f>
        <v>5682023.1669702232</v>
      </c>
      <c r="AB25" s="94">
        <f>+VLOOKUP($A$25,RESUMIDO!$A$16:$W$27,15,0)*AM$25</f>
        <v>7029582.0537082637</v>
      </c>
      <c r="AC25" s="94">
        <f>+VLOOKUP($A$25,RESUMIDO!$A$16:$W$27,16,0)*AM$25</f>
        <v>7490871.4172980757</v>
      </c>
      <c r="AD25" s="94">
        <f>+VLOOKUP($A$25,RESUMIDO!$A$16:$W$27,17,0)*AM$25</f>
        <v>12744797.623243026</v>
      </c>
      <c r="AE25" s="94">
        <f>+VLOOKUP($A$25,RESUMIDO!$A$16:$W$27,18,0)*AM$25</f>
        <v>12744797.623243026</v>
      </c>
      <c r="AF25" s="94">
        <f>+VLOOKUP($A$25,RESUMIDO!$A$16:$W$27,19,0)*AM$25</f>
        <v>4491266.2305658273</v>
      </c>
      <c r="AG25" s="94">
        <f>+VLOOKUP($A$25,RESUMIDO!$A$16:$W$27,20,0)*AM$25</f>
        <v>14329379.246339489</v>
      </c>
      <c r="AH25" s="94">
        <f>+VLOOKUP($A$25,RESUMIDO!$A$16:$W$27,21,0)*AM$25</f>
        <v>15447585.011466099</v>
      </c>
      <c r="AI25" s="94">
        <f>+VLOOKUP($A$25,RESUMIDO!$A$16:$W$27,22,0)*AM$25</f>
        <v>10722225.260635074</v>
      </c>
      <c r="AJ25" s="94">
        <f>+VLOOKUP($A$25,RESUMIDO!$A$16:$W$27,23,0)*AM$25</f>
        <v>10722225.260635074</v>
      </c>
      <c r="AK25" s="94">
        <f>SUM(S25:AJ25)</f>
        <v>198571075.00220877</v>
      </c>
      <c r="AL25" s="70">
        <f>+F25+R25</f>
        <v>198571075</v>
      </c>
      <c r="AM25" s="93">
        <f>+R25/R26</f>
        <v>0.44401624524042965</v>
      </c>
    </row>
    <row r="26" spans="1:39" s="89" customFormat="1" x14ac:dyDescent="0.2">
      <c r="A26" s="124" t="s">
        <v>127</v>
      </c>
      <c r="B26" s="124"/>
      <c r="C26" s="124"/>
      <c r="D26" s="124"/>
      <c r="E26" s="124"/>
      <c r="F26" s="88">
        <f>SUM(F24:F25)</f>
        <v>109227782</v>
      </c>
      <c r="G26" s="88">
        <f t="shared" ref="G26:S26" si="118">SUM(G24:G25)</f>
        <v>23119148.538304109</v>
      </c>
      <c r="H26" s="88">
        <f t="shared" si="118"/>
        <v>0</v>
      </c>
      <c r="I26" s="88">
        <f t="shared" si="118"/>
        <v>8791601.308418503</v>
      </c>
      <c r="J26" s="88">
        <f t="shared" si="118"/>
        <v>8791601.308418503</v>
      </c>
      <c r="K26" s="88">
        <f t="shared" si="118"/>
        <v>3296850.4906569384</v>
      </c>
      <c r="L26" s="88">
        <f t="shared" si="118"/>
        <v>3296850.4906569384</v>
      </c>
      <c r="M26" s="88">
        <f t="shared" si="118"/>
        <v>21979003.271046255</v>
      </c>
      <c r="N26" s="88">
        <f t="shared" si="118"/>
        <v>21979003.271046255</v>
      </c>
      <c r="O26" s="88">
        <f t="shared" si="118"/>
        <v>17973723.32145251</v>
      </c>
      <c r="P26" s="88">
        <f t="shared" si="118"/>
        <v>109227782.00000001</v>
      </c>
      <c r="Q26" s="88"/>
      <c r="R26" s="88">
        <f>SUM(R24:R25)</f>
        <v>447215788</v>
      </c>
      <c r="S26" s="88">
        <f t="shared" si="118"/>
        <v>91724359.342241496</v>
      </c>
      <c r="T26" s="88">
        <f t="shared" ref="T26" si="119">SUM(T24:T25)</f>
        <v>127110701.64857909</v>
      </c>
      <c r="U26" s="88">
        <f t="shared" ref="U26" si="120">SUM(U24:U25)</f>
        <v>0</v>
      </c>
      <c r="V26" s="88">
        <f t="shared" ref="V26" si="121">SUM(V24:V25)</f>
        <v>0</v>
      </c>
      <c r="W26" s="88">
        <f t="shared" ref="W26" si="122">SUM(W24:W25)</f>
        <v>0</v>
      </c>
      <c r="X26" s="88">
        <f t="shared" ref="X26" si="123">SUM(X24:X25)</f>
        <v>0</v>
      </c>
      <c r="Y26" s="88">
        <f t="shared" ref="Y26" si="124">SUM(Y24:Y25)</f>
        <v>0</v>
      </c>
      <c r="Z26" s="88">
        <f t="shared" ref="Z26" si="125">SUM(Z24:Z25)</f>
        <v>0</v>
      </c>
      <c r="AA26" s="88">
        <f t="shared" ref="AA26" si="126">SUM(AA24:AA25)</f>
        <v>12796881.258012246</v>
      </c>
      <c r="AB26" s="88">
        <f t="shared" ref="AB26" si="127">SUM(AB24:AB25)</f>
        <v>15831812.752485726</v>
      </c>
      <c r="AC26" s="88">
        <f t="shared" ref="AC26" si="128">SUM(AC24:AC25)</f>
        <v>16870714.748830542</v>
      </c>
      <c r="AD26" s="88">
        <f t="shared" ref="AD26" si="129">SUM(AD24:AD25)</f>
        <v>28703448.938769944</v>
      </c>
      <c r="AE26" s="88">
        <f t="shared" ref="AE26" si="130">SUM(AE24:AE25)</f>
        <v>28703448.938769944</v>
      </c>
      <c r="AF26" s="88">
        <f t="shared" ref="AF26" si="131">SUM(AF24:AF25)</f>
        <v>10115094.388345767</v>
      </c>
      <c r="AG26" s="88">
        <f t="shared" ref="AG26" si="132">SUM(AG24:AG25)</f>
        <v>32272195.893599108</v>
      </c>
      <c r="AH26" s="88">
        <f t="shared" ref="AH26" si="133">SUM(AH24:AH25)</f>
        <v>34790585.202803582</v>
      </c>
      <c r="AI26" s="88">
        <f t="shared" ref="AI26" si="134">SUM(AI24:AI25)</f>
        <v>24148272.446268521</v>
      </c>
      <c r="AJ26" s="88">
        <f t="shared" ref="AJ26" si="135">SUM(AJ24:AJ25)</f>
        <v>24148272.446268521</v>
      </c>
      <c r="AK26" s="88">
        <f t="shared" ref="AK26" si="136">SUM(AK24:AK25)</f>
        <v>447215788.00497454</v>
      </c>
      <c r="AL26" s="88">
        <f t="shared" ref="AL26" si="137">SUM(AL24:AL25)</f>
        <v>556443570</v>
      </c>
      <c r="AM26" s="92">
        <f>SUM(AM24:AM25)</f>
        <v>1</v>
      </c>
    </row>
    <row r="27" spans="1:39" s="71" customFormat="1" ht="12.75" customHeight="1" x14ac:dyDescent="0.2">
      <c r="A27" s="98" t="s">
        <v>19</v>
      </c>
      <c r="B27" s="99" t="s">
        <v>117</v>
      </c>
      <c r="C27" s="126" t="s">
        <v>118</v>
      </c>
      <c r="D27" s="73" t="s">
        <v>99</v>
      </c>
      <c r="E27" s="80" t="s">
        <v>86</v>
      </c>
      <c r="F27" s="70">
        <v>4347265707</v>
      </c>
      <c r="G27" s="94">
        <f>+VLOOKUP($A$27,RESUMIDO!$A$5:$W$14,6,0)</f>
        <v>926031664.91103697</v>
      </c>
      <c r="H27" s="94">
        <f>+VLOOKUP($A$27,RESUMIDO!$A$5:$W$14,7,0)</f>
        <v>0</v>
      </c>
      <c r="I27" s="94">
        <f>+VLOOKUP($A$27,RESUMIDO!$A$5:$W$14,8,0)</f>
        <v>345182850.68591118</v>
      </c>
      <c r="J27" s="94">
        <f>+VLOOKUP($A$27,RESUMIDO!$A$5:$W$14,9,0)</f>
        <v>345182850.68591118</v>
      </c>
      <c r="K27" s="94">
        <f>+VLOOKUP($A$27,RESUMIDO!$A$5:$W$14,10,0)</f>
        <v>129443569.00721671</v>
      </c>
      <c r="L27" s="94">
        <f>+VLOOKUP($A$27,RESUMIDO!$A$5:$W$14,11,0)</f>
        <v>129443569.00721671</v>
      </c>
      <c r="M27" s="94">
        <f>+VLOOKUP($A$27,RESUMIDO!$A$5:$W$14,12,0)</f>
        <v>862957126.71477795</v>
      </c>
      <c r="N27" s="94">
        <f>+VLOOKUP($A$27,RESUMIDO!$A$5:$W$14,13,0)</f>
        <v>862957126.71477795</v>
      </c>
      <c r="O27" s="94">
        <f>+VLOOKUP($A$27,RESUMIDO!$A$5:$W$14,14,0)</f>
        <v>746066949.27315092</v>
      </c>
      <c r="P27" s="94">
        <f>SUM(G27:O27)</f>
        <v>4347265707</v>
      </c>
      <c r="Q27" s="70"/>
      <c r="R27" s="70">
        <v>9906611679</v>
      </c>
      <c r="S27" s="94">
        <f>+VLOOKUP($A$27,RESUMIDO!$A$16:$W$27,6,0)*AM$27</f>
        <v>2037803011.7422409</v>
      </c>
      <c r="T27" s="94">
        <f>+VLOOKUP($A$27,RESUMIDO!$A$16:$W$27,7,0)*AM$27</f>
        <v>2823967073.7591658</v>
      </c>
      <c r="U27" s="94">
        <f>+VLOOKUP($A$27,RESUMIDO!$A$16:$W$27,8,0)*AM$27</f>
        <v>0</v>
      </c>
      <c r="V27" s="94">
        <f>+VLOOKUP($A$27,RESUMIDO!$A$16:$W$27,9,0)*AM$27</f>
        <v>0</v>
      </c>
      <c r="W27" s="94">
        <f>+VLOOKUP($A$27,RESUMIDO!$A$16:$W$27,10,0)*AM$27</f>
        <v>0</v>
      </c>
      <c r="X27" s="94">
        <f>+VLOOKUP($A$27,RESUMIDO!$A$16:$W$27,11,0)*AM$27</f>
        <v>0</v>
      </c>
      <c r="Y27" s="94">
        <f>+VLOOKUP($A$27,RESUMIDO!$A$16:$W$27,12,0)*AM$27</f>
        <v>0</v>
      </c>
      <c r="Z27" s="94">
        <f>+VLOOKUP($A$27,RESUMIDO!$A$16:$W$27,13,0)*AM$27</f>
        <v>0</v>
      </c>
      <c r="AA27" s="94">
        <f>+VLOOKUP($A$27,RESUMIDO!$A$16:$W$27,14,0)*AM$27</f>
        <v>256291456.72471163</v>
      </c>
      <c r="AB27" s="94">
        <f>+VLOOKUP($A$27,RESUMIDO!$A$16:$W$27,15,0)*AM$27</f>
        <v>344774693.81362152</v>
      </c>
      <c r="AC27" s="94">
        <f>+VLOOKUP($A$27,RESUMIDO!$A$16:$W$27,16,0)*AM$27</f>
        <v>374809849.55300295</v>
      </c>
      <c r="AD27" s="94">
        <f>+VLOOKUP($A$27,RESUMIDO!$A$16:$W$27,17,0)*AM$27</f>
        <v>637692921.64331222</v>
      </c>
      <c r="AE27" s="94">
        <f>+VLOOKUP($A$27,RESUMIDO!$A$16:$W$27,18,0)*AM$27</f>
        <v>637692921.64331222</v>
      </c>
      <c r="AF27" s="94">
        <f>+VLOOKUP($A$27,RESUMIDO!$A$16:$W$27,19,0)*AM$27</f>
        <v>224722962.97779</v>
      </c>
      <c r="AG27" s="94">
        <f>+VLOOKUP($A$27,RESUMIDO!$A$16:$W$27,20,0)*AM$27</f>
        <v>718647137.97650647</v>
      </c>
      <c r="AH27" s="94">
        <f>+VLOOKUP($A$27,RESUMIDO!$A$16:$W$27,21,0)*AM$27</f>
        <v>774727402.09418273</v>
      </c>
      <c r="AI27" s="94">
        <f>+VLOOKUP($A$27,RESUMIDO!$A$16:$W$27,22,0)*AM$27</f>
        <v>537741123.59146357</v>
      </c>
      <c r="AJ27" s="94">
        <f>+VLOOKUP($A$27,RESUMIDO!$A$16:$W$27,23,0)*AM$27</f>
        <v>537741123.59146357</v>
      </c>
      <c r="AK27" s="94">
        <f>SUM(S27:AJ27)</f>
        <v>9906611679.1107731</v>
      </c>
      <c r="AL27" s="70">
        <f>+F27+R27</f>
        <v>14253877386</v>
      </c>
      <c r="AM27" s="93">
        <f>+R27/R29</f>
        <v>0.55465573864651507</v>
      </c>
    </row>
    <row r="28" spans="1:39" s="71" customFormat="1" x14ac:dyDescent="0.2">
      <c r="A28" s="98" t="s">
        <v>19</v>
      </c>
      <c r="B28" s="99" t="s">
        <v>117</v>
      </c>
      <c r="C28" s="126"/>
      <c r="D28" s="73" t="s">
        <v>100</v>
      </c>
      <c r="E28" s="80" t="s">
        <v>88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/>
      <c r="R28" s="70">
        <v>7954218001</v>
      </c>
      <c r="S28" s="94">
        <f>+VLOOKUP($A$28,RESUMIDO!$A$16:$W$27,6,0)*AM$28</f>
        <v>1636193072.2339911</v>
      </c>
      <c r="T28" s="94">
        <f>+VLOOKUP($A$28,RESUMIDO!$A$16:$W$27,7,0)*AM$28</f>
        <v>2267420028.1759577</v>
      </c>
      <c r="U28" s="94">
        <f>+VLOOKUP($A$28,RESUMIDO!$A$16:$W$27,8,0)*AM$28</f>
        <v>0</v>
      </c>
      <c r="V28" s="94">
        <f>+VLOOKUP($A$28,RESUMIDO!$A$16:$W$27,9,0)*AM$28</f>
        <v>0</v>
      </c>
      <c r="W28" s="94">
        <f>+VLOOKUP($A$28,RESUMIDO!$A$16:$W$27,10,0)*AM$28</f>
        <v>0</v>
      </c>
      <c r="X28" s="94">
        <f>+VLOOKUP($A$28,RESUMIDO!$A$16:$W$27,11,0)*AM$28</f>
        <v>0</v>
      </c>
      <c r="Y28" s="94">
        <f>+VLOOKUP($A$28,RESUMIDO!$A$16:$W$27,12,0)*AM$28</f>
        <v>0</v>
      </c>
      <c r="Z28" s="94">
        <f>+VLOOKUP($A$28,RESUMIDO!$A$16:$W$27,13,0)*AM$28</f>
        <v>0</v>
      </c>
      <c r="AA28" s="94">
        <f>+VLOOKUP($A$28,RESUMIDO!$A$16:$W$27,14,0)*AM$28</f>
        <v>205781571.40282655</v>
      </c>
      <c r="AB28" s="94">
        <f>+VLOOKUP($A$28,RESUMIDO!$A$16:$W$27,15,0)*AM$28</f>
        <v>276826544.19925725</v>
      </c>
      <c r="AC28" s="94">
        <f>+VLOOKUP($A$28,RESUMIDO!$A$16:$W$27,16,0)*AM$28</f>
        <v>300942375.54363698</v>
      </c>
      <c r="AD28" s="94">
        <f>+VLOOKUP($A$28,RESUMIDO!$A$16:$W$27,17,0)*AM$28</f>
        <v>512016487.65519524</v>
      </c>
      <c r="AE28" s="94">
        <f>+VLOOKUP($A$28,RESUMIDO!$A$16:$W$27,18,0)*AM$28</f>
        <v>512016487.65519524</v>
      </c>
      <c r="AF28" s="94">
        <f>+VLOOKUP($A$28,RESUMIDO!$A$16:$W$27,19,0)*AM$28</f>
        <v>180434592.09621796</v>
      </c>
      <c r="AG28" s="94">
        <f>+VLOOKUP($A$28,RESUMIDO!$A$16:$W$27,20,0)*AM$28</f>
        <v>577016258.07915735</v>
      </c>
      <c r="AH28" s="94">
        <f>+VLOOKUP($A$28,RESUMIDO!$A$16:$W$27,21,0)*AM$28</f>
        <v>622044231.39633524</v>
      </c>
      <c r="AI28" s="94">
        <f>+VLOOKUP($A$28,RESUMIDO!$A$16:$W$27,22,0)*AM$28</f>
        <v>431763176.3255859</v>
      </c>
      <c r="AJ28" s="94">
        <f>+VLOOKUP($A$28,RESUMIDO!$A$16:$W$27,23,0)*AM$28</f>
        <v>431763176.3255859</v>
      </c>
      <c r="AK28" s="94">
        <f>SUM(S28:AJ28)</f>
        <v>7954218001.0889435</v>
      </c>
      <c r="AL28" s="70">
        <f>+F28+R28</f>
        <v>7954218001</v>
      </c>
      <c r="AM28" s="93">
        <f>+R28/R29</f>
        <v>0.44534426135348487</v>
      </c>
    </row>
    <row r="29" spans="1:39" s="89" customFormat="1" x14ac:dyDescent="0.2">
      <c r="A29" s="124" t="s">
        <v>130</v>
      </c>
      <c r="B29" s="124"/>
      <c r="C29" s="124"/>
      <c r="D29" s="124"/>
      <c r="E29" s="124"/>
      <c r="F29" s="88">
        <f>SUM(F27:F28)</f>
        <v>4347265707</v>
      </c>
      <c r="G29" s="88">
        <f t="shared" ref="G29:P29" si="138">SUM(G27:G28)</f>
        <v>926031664.91103697</v>
      </c>
      <c r="H29" s="88">
        <f t="shared" si="138"/>
        <v>0</v>
      </c>
      <c r="I29" s="88">
        <f t="shared" si="138"/>
        <v>345182850.68591118</v>
      </c>
      <c r="J29" s="88">
        <f t="shared" si="138"/>
        <v>345182850.68591118</v>
      </c>
      <c r="K29" s="88">
        <f t="shared" si="138"/>
        <v>129443569.00721671</v>
      </c>
      <c r="L29" s="88">
        <f t="shared" si="138"/>
        <v>129443569.00721671</v>
      </c>
      <c r="M29" s="88">
        <f t="shared" si="138"/>
        <v>862957126.71477795</v>
      </c>
      <c r="N29" s="88">
        <f t="shared" si="138"/>
        <v>862957126.71477795</v>
      </c>
      <c r="O29" s="88">
        <f t="shared" si="138"/>
        <v>746066949.27315092</v>
      </c>
      <c r="P29" s="88">
        <f t="shared" si="138"/>
        <v>4347265707</v>
      </c>
      <c r="Q29" s="88"/>
      <c r="R29" s="88">
        <f>SUM(R27:R28)</f>
        <v>17860829680</v>
      </c>
      <c r="S29" s="88">
        <f t="shared" ref="S29:AL29" si="139">SUM(S27:S28)</f>
        <v>3673996083.9762321</v>
      </c>
      <c r="T29" s="88">
        <f t="shared" si="139"/>
        <v>5091387101.9351234</v>
      </c>
      <c r="U29" s="88">
        <f t="shared" si="139"/>
        <v>0</v>
      </c>
      <c r="V29" s="88">
        <f t="shared" si="139"/>
        <v>0</v>
      </c>
      <c r="W29" s="88">
        <f t="shared" si="139"/>
        <v>0</v>
      </c>
      <c r="X29" s="88">
        <f t="shared" si="139"/>
        <v>0</v>
      </c>
      <c r="Y29" s="88">
        <f t="shared" si="139"/>
        <v>0</v>
      </c>
      <c r="Z29" s="88">
        <f t="shared" si="139"/>
        <v>0</v>
      </c>
      <c r="AA29" s="88">
        <f t="shared" si="139"/>
        <v>462073028.1275382</v>
      </c>
      <c r="AB29" s="88">
        <f t="shared" si="139"/>
        <v>621601238.01287878</v>
      </c>
      <c r="AC29" s="88">
        <f t="shared" si="139"/>
        <v>675752225.09663987</v>
      </c>
      <c r="AD29" s="88">
        <f t="shared" si="139"/>
        <v>1149709409.2985075</v>
      </c>
      <c r="AE29" s="88">
        <f t="shared" si="139"/>
        <v>1149709409.2985075</v>
      </c>
      <c r="AF29" s="88">
        <f t="shared" si="139"/>
        <v>405157555.07400799</v>
      </c>
      <c r="AG29" s="88">
        <f t="shared" si="139"/>
        <v>1295663396.0556638</v>
      </c>
      <c r="AH29" s="88">
        <f t="shared" si="139"/>
        <v>1396771633.4905181</v>
      </c>
      <c r="AI29" s="88">
        <f t="shared" si="139"/>
        <v>969504299.91704941</v>
      </c>
      <c r="AJ29" s="88">
        <f t="shared" si="139"/>
        <v>969504299.91704941</v>
      </c>
      <c r="AK29" s="88">
        <f t="shared" si="139"/>
        <v>17860829680.199715</v>
      </c>
      <c r="AL29" s="88">
        <f t="shared" si="139"/>
        <v>22208095387</v>
      </c>
      <c r="AM29" s="92">
        <f>SUM(AM27:AM28)</f>
        <v>1</v>
      </c>
    </row>
    <row r="30" spans="1:39" s="71" customFormat="1" x14ac:dyDescent="0.2">
      <c r="A30" s="98" t="s">
        <v>12</v>
      </c>
      <c r="B30" s="84" t="s">
        <v>2</v>
      </c>
      <c r="C30" s="100" t="s">
        <v>119</v>
      </c>
      <c r="D30" s="79"/>
      <c r="E30" s="80" t="s">
        <v>101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/>
      <c r="R30" s="70">
        <v>148908957</v>
      </c>
      <c r="S30" s="94">
        <f>+VLOOKUP($A$30,RESUMIDO!$A$16:$W$16,6,0)</f>
        <v>0</v>
      </c>
      <c r="T30" s="94">
        <f>+VLOOKUP($A$30,RESUMIDO!$A$16:$W$16,7,0)</f>
        <v>0</v>
      </c>
      <c r="U30" s="94">
        <f>+VLOOKUP($A$30,RESUMIDO!$A$16:$W$16,8,0)</f>
        <v>0</v>
      </c>
      <c r="V30" s="94">
        <f>+VLOOKUP($A$30,RESUMIDO!$A$16:$W$16,9,0)</f>
        <v>0</v>
      </c>
      <c r="W30" s="94">
        <f>+VLOOKUP($A$30,RESUMIDO!$A$16:$W$16,10,0)</f>
        <v>0</v>
      </c>
      <c r="X30" s="94">
        <f>+VLOOKUP($A$30,RESUMIDO!$A$16:$W$16,11,0)</f>
        <v>0</v>
      </c>
      <c r="Y30" s="94">
        <f>+VLOOKUP($A$30,RESUMIDO!$A$16:$W$16,12,0)</f>
        <v>0</v>
      </c>
      <c r="Z30" s="94">
        <f>+VLOOKUP($A$30,RESUMIDO!$A$16:$W$16,13,0)</f>
        <v>0</v>
      </c>
      <c r="AA30" s="94">
        <f>+VLOOKUP($A$30,RESUMIDO!$A$16:$W$16,14,0)</f>
        <v>0</v>
      </c>
      <c r="AB30" s="94">
        <f>+VLOOKUP($A$30,RESUMIDO!$A$16:$W$16,15,0)</f>
        <v>0</v>
      </c>
      <c r="AC30" s="94">
        <f>+VLOOKUP($A$30,RESUMIDO!$A$16:$W$16,16,0)</f>
        <v>0</v>
      </c>
      <c r="AD30" s="94">
        <f>+VLOOKUP($A$30,RESUMIDO!$A$16:$W$16,17,0)</f>
        <v>0</v>
      </c>
      <c r="AE30" s="94">
        <f>+VLOOKUP($A$30,RESUMIDO!$A$16:$W$16,18,0)</f>
        <v>0</v>
      </c>
      <c r="AF30" s="94">
        <f>+VLOOKUP($A$30,RESUMIDO!$A$16:$W$16,19,0)</f>
        <v>0</v>
      </c>
      <c r="AG30" s="94">
        <f>+VLOOKUP($A$30,RESUMIDO!$A$16:$W$16,20,0)</f>
        <v>41657828.611823723</v>
      </c>
      <c r="AH30" s="94">
        <f>+VLOOKUP($A$30,RESUMIDO!$A$16:$W$16,21,0)</f>
        <v>44908634.059540316</v>
      </c>
      <c r="AI30" s="94">
        <f>+VLOOKUP($A$30,RESUMIDO!$A$16:$W$16,22,0)</f>
        <v>31171247.1675286</v>
      </c>
      <c r="AJ30" s="94">
        <f>+VLOOKUP($A$30,RESUMIDO!$A$16:$W$16,23,0)</f>
        <v>31171247.1675286</v>
      </c>
      <c r="AK30" s="94">
        <f>SUM(S30:AJ30)</f>
        <v>148908957.00642124</v>
      </c>
      <c r="AL30" s="70">
        <f>+F30+R30</f>
        <v>148908957</v>
      </c>
      <c r="AM30" s="93" t="s">
        <v>109</v>
      </c>
    </row>
    <row r="31" spans="1:39" s="71" customFormat="1" x14ac:dyDescent="0.2">
      <c r="A31" s="98" t="s">
        <v>12</v>
      </c>
      <c r="B31" s="84" t="s">
        <v>2</v>
      </c>
      <c r="C31" s="100" t="s">
        <v>119</v>
      </c>
      <c r="D31" s="79"/>
      <c r="E31" s="80" t="s">
        <v>106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/>
      <c r="R31" s="70">
        <v>101156981.67</v>
      </c>
      <c r="S31" s="94">
        <f>+VLOOKUP($A$31,RESUMIDO!$A$17:$W$17,6,0)</f>
        <v>0</v>
      </c>
      <c r="T31" s="94">
        <f>+VLOOKUP($A$31,RESUMIDO!$A$17:$W$17,7,0)</f>
        <v>0</v>
      </c>
      <c r="U31" s="94">
        <f>+VLOOKUP($A$31,RESUMIDO!$A$17:$W$17,8,0)</f>
        <v>0</v>
      </c>
      <c r="V31" s="94">
        <f>+VLOOKUP($A$31,RESUMIDO!$A$17:$W$17,9,0)</f>
        <v>0</v>
      </c>
      <c r="W31" s="94">
        <f>+VLOOKUP($A$31,RESUMIDO!$A$17:$W$17,10,0)</f>
        <v>0</v>
      </c>
      <c r="X31" s="94">
        <f>+VLOOKUP($A$31,RESUMIDO!$A$17:$W$17,11,0)</f>
        <v>0</v>
      </c>
      <c r="Y31" s="94">
        <f>+VLOOKUP($A$31,RESUMIDO!$A$17:$W$17,12,0)</f>
        <v>0</v>
      </c>
      <c r="Z31" s="94">
        <f>+VLOOKUP($A$31,RESUMIDO!$A$17:$W$17,13,0)</f>
        <v>0</v>
      </c>
      <c r="AA31" s="94">
        <f>+VLOOKUP($A$31,RESUMIDO!$A$17:$W$17,14,0)</f>
        <v>0</v>
      </c>
      <c r="AB31" s="94">
        <f>+VLOOKUP($A$31,RESUMIDO!$A$17:$W$17,15,0)</f>
        <v>0</v>
      </c>
      <c r="AC31" s="94">
        <f>+VLOOKUP($A$31,RESUMIDO!$A$17:$W$17,16,0)</f>
        <v>0</v>
      </c>
      <c r="AD31" s="94">
        <f>+VLOOKUP($A$31,RESUMIDO!$A$17:$W$17,17,0)</f>
        <v>0</v>
      </c>
      <c r="AE31" s="94">
        <f>+VLOOKUP($A$31,RESUMIDO!$A$17:$W$17,18,0)</f>
        <v>0</v>
      </c>
      <c r="AF31" s="94">
        <f>+VLOOKUP($A$31,RESUMIDO!$A$17:$W$17,19,0)</f>
        <v>0</v>
      </c>
      <c r="AG31" s="94">
        <f>+VLOOKUP($A$31,RESUMIDO!$A$17:$W$17,20,0)</f>
        <v>28299037.628659964</v>
      </c>
      <c r="AH31" s="94">
        <f>+VLOOKUP($A$31,RESUMIDO!$A$17:$W$17,21,0)</f>
        <v>30507378.023585733</v>
      </c>
      <c r="AI31" s="94">
        <f>+VLOOKUP($A$31,RESUMIDO!$A$17:$W$17,22,0)</f>
        <v>21175282.676058192</v>
      </c>
      <c r="AJ31" s="94">
        <f>+VLOOKUP($A$31,RESUMIDO!$A$17:$W$17,23,0)</f>
        <v>21175282.676058192</v>
      </c>
      <c r="AK31" s="94">
        <f>SUM(S31:AJ31)</f>
        <v>101156981.00436208</v>
      </c>
      <c r="AL31" s="70">
        <f>+F31+R31</f>
        <v>101156981.67</v>
      </c>
      <c r="AM31" s="93" t="s">
        <v>109</v>
      </c>
    </row>
    <row r="32" spans="1:39" s="75" customFormat="1" ht="63.75" x14ac:dyDescent="0.2">
      <c r="A32" s="98" t="s">
        <v>12</v>
      </c>
      <c r="B32" s="84" t="s">
        <v>2</v>
      </c>
      <c r="C32" s="100" t="s">
        <v>119</v>
      </c>
      <c r="D32" s="85" t="s">
        <v>102</v>
      </c>
      <c r="E32" s="80" t="s">
        <v>86</v>
      </c>
      <c r="F32" s="74">
        <v>4143301447</v>
      </c>
      <c r="G32" s="94">
        <f>+VLOOKUP($A$32,RESUMIDO!$A$5:$W$14,6,0)</f>
        <v>681101895.11721718</v>
      </c>
      <c r="H32" s="94">
        <f>+VLOOKUP($A$32,RESUMIDO!$A$5:$W$14,7,0)</f>
        <v>0</v>
      </c>
      <c r="I32" s="94">
        <f>+VLOOKUP($A$32,RESUMIDO!$A$5:$W$14,8,0)</f>
        <v>324972615.50477993</v>
      </c>
      <c r="J32" s="94">
        <f>+VLOOKUP($A$32,RESUMIDO!$A$5:$W$14,9,0)</f>
        <v>324972615.50477993</v>
      </c>
      <c r="K32" s="94">
        <f>+VLOOKUP($A$32,RESUMIDO!$A$5:$W$14,10,0)</f>
        <v>121864730.81429249</v>
      </c>
      <c r="L32" s="94">
        <f>+VLOOKUP($A$32,RESUMIDO!$A$5:$W$14,11,0)</f>
        <v>121864730.81429249</v>
      </c>
      <c r="M32" s="94">
        <f>+VLOOKUP($A$32,RESUMIDO!$A$5:$W$14,12,0)</f>
        <v>812431538.7619499</v>
      </c>
      <c r="N32" s="94">
        <f>+VLOOKUP($A$32,RESUMIDO!$A$5:$W$14,13,0)</f>
        <v>812431538.7619499</v>
      </c>
      <c r="O32" s="94">
        <f>+VLOOKUP($A$32,RESUMIDO!$A$5:$W$14,14,0)</f>
        <v>943661781.72073853</v>
      </c>
      <c r="P32" s="94">
        <f>SUM(G32:O32)</f>
        <v>4143301447.0000005</v>
      </c>
      <c r="Q32" s="74"/>
      <c r="R32" s="74">
        <v>6399804611</v>
      </c>
      <c r="S32" s="94">
        <f>+VLOOKUP($A$32,RESUMIDO!$A$18:$W$27,6,0)*AM$32</f>
        <v>1411764687.7691352</v>
      </c>
      <c r="T32" s="94">
        <f>+VLOOKUP($A$32,RESUMIDO!$A$18:$W$27,7,0)*AM$32</f>
        <v>1956409413.0704963</v>
      </c>
      <c r="U32" s="94">
        <f>+VLOOKUP($A$32,RESUMIDO!$A$18:$W$27,8,0)*AM$32</f>
        <v>0</v>
      </c>
      <c r="V32" s="94">
        <f>+VLOOKUP($A$32,RESUMIDO!$A$18:$W$27,9,0)*AM$32</f>
        <v>0</v>
      </c>
      <c r="W32" s="94">
        <f>+VLOOKUP($A$32,RESUMIDO!$A$18:$W$27,10,0)*AM$32</f>
        <v>0</v>
      </c>
      <c r="X32" s="94">
        <f>+VLOOKUP($A$32,RESUMIDO!$A$18:$W$27,11,0)*AM$32</f>
        <v>0</v>
      </c>
      <c r="Y32" s="94">
        <f>+VLOOKUP($A$32,RESUMIDO!$A$18:$W$27,12,0)*AM$32</f>
        <v>0</v>
      </c>
      <c r="Z32" s="94">
        <f>+VLOOKUP($A$32,RESUMIDO!$A$18:$W$27,13,0)*AM$32</f>
        <v>0</v>
      </c>
      <c r="AA32" s="94">
        <f>+VLOOKUP($A$32,RESUMIDO!$A$18:$W$27,14,0)*AM$32</f>
        <v>101218987.34575741</v>
      </c>
      <c r="AB32" s="94">
        <f>+VLOOKUP($A$32,RESUMIDO!$A$18:$W$27,15,0)*AM$32</f>
        <v>305736155.22270101</v>
      </c>
      <c r="AC32" s="94">
        <f>+VLOOKUP($A$32,RESUMIDO!$A$18:$W$27,16,0)*AM$32</f>
        <v>259663621.64446661</v>
      </c>
      <c r="AD32" s="94">
        <f>+VLOOKUP($A$32,RESUMIDO!$A$18:$W$27,17,0)*AM$32</f>
        <v>441785758.10753214</v>
      </c>
      <c r="AE32" s="94">
        <f>+VLOOKUP($A$32,RESUMIDO!$A$18:$W$27,18,0)*AM$32</f>
        <v>441785758.10753214</v>
      </c>
      <c r="AF32" s="94">
        <f>+VLOOKUP($A$32,RESUMIDO!$A$18:$W$27,19,0)*AM$32</f>
        <v>155685285.49364218</v>
      </c>
      <c r="AG32" s="94">
        <f>+VLOOKUP($A$32,RESUMIDO!$A$18:$W$27,20,0)*AM$32</f>
        <v>370884823.69100815</v>
      </c>
      <c r="AH32" s="94">
        <f>+VLOOKUP($A$32,RESUMIDO!$A$18:$W$27,21,0)*AM$32</f>
        <v>399827148.47142011</v>
      </c>
      <c r="AI32" s="94">
        <f>+VLOOKUP($A$32,RESUMIDO!$A$18:$W$27,22,0)*AM$32</f>
        <v>277521486.24175632</v>
      </c>
      <c r="AJ32" s="94">
        <f>+VLOOKUP($A$32,RESUMIDO!$A$18:$W$27,23,0)*AM$32</f>
        <v>277521486.24175632</v>
      </c>
      <c r="AK32" s="94">
        <f>SUM(S32:AJ32)</f>
        <v>6399804611.4072046</v>
      </c>
      <c r="AL32" s="70">
        <f>+F32+R32</f>
        <v>10543106058</v>
      </c>
      <c r="AM32" s="93">
        <f>+R32/(R32+R33)</f>
        <v>0.52244114705331002</v>
      </c>
    </row>
    <row r="33" spans="1:39" s="71" customFormat="1" x14ac:dyDescent="0.2">
      <c r="A33" s="98" t="s">
        <v>12</v>
      </c>
      <c r="B33" s="84" t="s">
        <v>2</v>
      </c>
      <c r="C33" s="100" t="s">
        <v>119</v>
      </c>
      <c r="D33" s="80">
        <v>259844217</v>
      </c>
      <c r="E33" s="80" t="s">
        <v>88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/>
      <c r="R33" s="70">
        <v>5850005051</v>
      </c>
      <c r="S33" s="94">
        <f>+VLOOKUP($A$33,RESUMIDO!$A$18:$W$27,6,0)*AM$33</f>
        <v>1290481671.9056675</v>
      </c>
      <c r="T33" s="94">
        <f>+VLOOKUP($A$33,RESUMIDO!$A$18:$W$27,7,0)*AM$33</f>
        <v>1788336620.2484753</v>
      </c>
      <c r="U33" s="94">
        <f>+VLOOKUP($A$33,RESUMIDO!$A$18:$W$27,8,0)*AM$33</f>
        <v>0</v>
      </c>
      <c r="V33" s="94">
        <f>+VLOOKUP($A$33,RESUMIDO!$A$18:$W$27,9,0)*AM$33</f>
        <v>0</v>
      </c>
      <c r="W33" s="94">
        <f>+VLOOKUP($A$33,RESUMIDO!$A$18:$W$27,10,0)*AM$33</f>
        <v>0</v>
      </c>
      <c r="X33" s="94">
        <f>+VLOOKUP($A$33,RESUMIDO!$A$18:$W$27,11,0)*AM$33</f>
        <v>0</v>
      </c>
      <c r="Y33" s="94">
        <f>+VLOOKUP($A$33,RESUMIDO!$A$18:$W$27,12,0)*AM$33</f>
        <v>0</v>
      </c>
      <c r="Z33" s="94">
        <f>+VLOOKUP($A$33,RESUMIDO!$A$18:$W$27,13,0)*AM$33</f>
        <v>0</v>
      </c>
      <c r="AA33" s="94">
        <f>+VLOOKUP($A$33,RESUMIDO!$A$18:$W$27,14,0)*AM$33</f>
        <v>92523385.200233892</v>
      </c>
      <c r="AB33" s="94">
        <f>+VLOOKUP($A$33,RESUMIDO!$A$18:$W$27,15,0)*AM$33</f>
        <v>279470727.78627378</v>
      </c>
      <c r="AC33" s="94">
        <f>+VLOOKUP($A$33,RESUMIDO!$A$18:$W$27,16,0)*AM$33</f>
        <v>237356230.46524951</v>
      </c>
      <c r="AD33" s="94">
        <f>+VLOOKUP($A$33,RESUMIDO!$A$18:$W$27,17,0)*AM$33</f>
        <v>403832472.00184369</v>
      </c>
      <c r="AE33" s="94">
        <f>+VLOOKUP($A$33,RESUMIDO!$A$18:$W$27,18,0)*AM$33</f>
        <v>403832472.00184369</v>
      </c>
      <c r="AF33" s="94">
        <f>+VLOOKUP($A$33,RESUMIDO!$A$18:$W$27,19,0)*AM$33</f>
        <v>142310548.815626</v>
      </c>
      <c r="AG33" s="94">
        <f>+VLOOKUP($A$33,RESUMIDO!$A$18:$W$27,20,0)*AM$33</f>
        <v>339022552.06391674</v>
      </c>
      <c r="AH33" s="94">
        <f>+VLOOKUP($A$33,RESUMIDO!$A$18:$W$27,21,0)*AM$33</f>
        <v>365478476.33730429</v>
      </c>
      <c r="AI33" s="94">
        <f>+VLOOKUP($A$33,RESUMIDO!$A$18:$W$27,22,0)*AM$33</f>
        <v>253679947.27289364</v>
      </c>
      <c r="AJ33" s="94">
        <f>+VLOOKUP($A$33,RESUMIDO!$A$18:$W$27,23,0)*AM$33</f>
        <v>253679947.27289364</v>
      </c>
      <c r="AK33" s="94">
        <f>SUM(S33:AJ33)</f>
        <v>5850005051.3722229</v>
      </c>
      <c r="AL33" s="70">
        <f>+F33+R33</f>
        <v>5850005051</v>
      </c>
      <c r="AM33" s="93">
        <f>+R33/(R32+R33)</f>
        <v>0.47755885294668998</v>
      </c>
    </row>
    <row r="34" spans="1:39" s="89" customFormat="1" x14ac:dyDescent="0.2">
      <c r="A34" s="124" t="s">
        <v>131</v>
      </c>
      <c r="B34" s="124"/>
      <c r="C34" s="124"/>
      <c r="D34" s="124"/>
      <c r="E34" s="124"/>
      <c r="F34" s="88">
        <f t="shared" ref="F34:P34" si="140">SUM(F32:F33)</f>
        <v>4143301447</v>
      </c>
      <c r="G34" s="88">
        <f t="shared" si="140"/>
        <v>681101895.11721718</v>
      </c>
      <c r="H34" s="88">
        <f t="shared" si="140"/>
        <v>0</v>
      </c>
      <c r="I34" s="88">
        <f t="shared" si="140"/>
        <v>324972615.50477993</v>
      </c>
      <c r="J34" s="88">
        <f t="shared" si="140"/>
        <v>324972615.50477993</v>
      </c>
      <c r="K34" s="88">
        <f t="shared" si="140"/>
        <v>121864730.81429249</v>
      </c>
      <c r="L34" s="88">
        <f t="shared" si="140"/>
        <v>121864730.81429249</v>
      </c>
      <c r="M34" s="88">
        <f t="shared" si="140"/>
        <v>812431538.7619499</v>
      </c>
      <c r="N34" s="88">
        <f t="shared" si="140"/>
        <v>812431538.7619499</v>
      </c>
      <c r="O34" s="88">
        <f t="shared" si="140"/>
        <v>943661781.72073853</v>
      </c>
      <c r="P34" s="88">
        <f t="shared" si="140"/>
        <v>4143301447.0000005</v>
      </c>
      <c r="Q34" s="88"/>
      <c r="R34" s="88">
        <f>SUM(R30:R33)</f>
        <v>12499875600.67</v>
      </c>
      <c r="S34" s="88">
        <f t="shared" ref="S34:AL34" si="141">SUM(S30:S33)</f>
        <v>2702246359.6748028</v>
      </c>
      <c r="T34" s="88">
        <f t="shared" si="141"/>
        <v>3744746033.3189716</v>
      </c>
      <c r="U34" s="88">
        <f t="shared" si="141"/>
        <v>0</v>
      </c>
      <c r="V34" s="88">
        <f t="shared" si="141"/>
        <v>0</v>
      </c>
      <c r="W34" s="88">
        <f t="shared" si="141"/>
        <v>0</v>
      </c>
      <c r="X34" s="88">
        <f t="shared" si="141"/>
        <v>0</v>
      </c>
      <c r="Y34" s="88">
        <f t="shared" si="141"/>
        <v>0</v>
      </c>
      <c r="Z34" s="88">
        <f t="shared" si="141"/>
        <v>0</v>
      </c>
      <c r="AA34" s="88">
        <f t="shared" si="141"/>
        <v>193742372.5459913</v>
      </c>
      <c r="AB34" s="88">
        <f t="shared" si="141"/>
        <v>585206883.00897479</v>
      </c>
      <c r="AC34" s="88">
        <f t="shared" si="141"/>
        <v>497019852.10971612</v>
      </c>
      <c r="AD34" s="88">
        <f t="shared" si="141"/>
        <v>845618230.10937583</v>
      </c>
      <c r="AE34" s="88">
        <f t="shared" si="141"/>
        <v>845618230.10937583</v>
      </c>
      <c r="AF34" s="88">
        <f t="shared" si="141"/>
        <v>297995834.30926818</v>
      </c>
      <c r="AG34" s="88">
        <f t="shared" si="141"/>
        <v>779864241.99540854</v>
      </c>
      <c r="AH34" s="88">
        <f t="shared" si="141"/>
        <v>840721636.89185047</v>
      </c>
      <c r="AI34" s="88">
        <f t="shared" si="141"/>
        <v>583547963.35823679</v>
      </c>
      <c r="AJ34" s="88">
        <f t="shared" si="141"/>
        <v>583547963.35823679</v>
      </c>
      <c r="AK34" s="88">
        <f t="shared" si="141"/>
        <v>12499875600.790211</v>
      </c>
      <c r="AL34" s="88">
        <f t="shared" si="141"/>
        <v>16643177047.67</v>
      </c>
      <c r="AM34" s="92">
        <f>SUM(AM32:AM33)</f>
        <v>1</v>
      </c>
    </row>
    <row r="35" spans="1:39" s="71" customFormat="1" x14ac:dyDescent="0.2">
      <c r="A35" s="98" t="s">
        <v>18</v>
      </c>
      <c r="B35" s="101" t="s">
        <v>103</v>
      </c>
      <c r="C35" s="125" t="s">
        <v>121</v>
      </c>
      <c r="D35" s="79" t="s">
        <v>104</v>
      </c>
      <c r="E35" s="80" t="s">
        <v>86</v>
      </c>
      <c r="F35" s="70">
        <v>2512238977</v>
      </c>
      <c r="G35" s="94">
        <f>+VLOOKUP($A$35,RESUMIDO!$A$5:$W$14,6,0)</f>
        <v>538495349.15086961</v>
      </c>
      <c r="H35" s="94">
        <f>+VLOOKUP($A$35,RESUMIDO!$A$5:$W$14,7,0)</f>
        <v>0</v>
      </c>
      <c r="I35" s="94">
        <f>+VLOOKUP($A$35,RESUMIDO!$A$5:$W$14,8,0)</f>
        <v>196789994.15275353</v>
      </c>
      <c r="J35" s="94">
        <f>+VLOOKUP($A$35,RESUMIDO!$A$5:$W$14,9,0)</f>
        <v>196789994.15275353</v>
      </c>
      <c r="K35" s="94">
        <f>+VLOOKUP($A$35,RESUMIDO!$A$5:$W$14,10,0)</f>
        <v>73796247.807282567</v>
      </c>
      <c r="L35" s="94">
        <f>+VLOOKUP($A$35,RESUMIDO!$A$5:$W$14,11,0)</f>
        <v>73796247.807282567</v>
      </c>
      <c r="M35" s="94">
        <f>+VLOOKUP($A$35,RESUMIDO!$A$5:$W$14,12,0)</f>
        <v>491974985.3818838</v>
      </c>
      <c r="N35" s="94">
        <f>+VLOOKUP($A$35,RESUMIDO!$A$5:$W$14,13,0)</f>
        <v>491974985.3818838</v>
      </c>
      <c r="O35" s="94">
        <f>+VLOOKUP($A$35,RESUMIDO!$A$5:$W$14,14,0)</f>
        <v>448621173.16529042</v>
      </c>
      <c r="P35" s="94">
        <f>SUM(G35:O35)</f>
        <v>2512238977</v>
      </c>
      <c r="Q35" s="70"/>
      <c r="R35" s="70">
        <f>6654586877-831195578</f>
        <v>5823391299</v>
      </c>
      <c r="S35" s="94">
        <f>+VLOOKUP($A$35,RESUMIDO!$A$16:$W$27,6,0)*AM$35</f>
        <v>1190734648.3616436</v>
      </c>
      <c r="T35" s="94">
        <f>+VLOOKUP($A$35,RESUMIDO!$A$16:$W$27,7,0)*AM$35</f>
        <v>1650108190.6256454</v>
      </c>
      <c r="U35" s="94">
        <f>+VLOOKUP($A$35,RESUMIDO!$A$16:$W$27,8,0)*AM$35</f>
        <v>0</v>
      </c>
      <c r="V35" s="94">
        <f>+VLOOKUP($A$35,RESUMIDO!$A$16:$W$27,9,0)*AM$35</f>
        <v>0</v>
      </c>
      <c r="W35" s="94">
        <f>+VLOOKUP($A$35,RESUMIDO!$A$16:$W$27,10,0)*AM$35</f>
        <v>0</v>
      </c>
      <c r="X35" s="94">
        <f>+VLOOKUP($A$35,RESUMIDO!$A$16:$W$27,11,0)*AM$35</f>
        <v>0</v>
      </c>
      <c r="Y35" s="94">
        <f>+VLOOKUP($A$35,RESUMIDO!$A$16:$W$27,12,0)*AM$35</f>
        <v>0</v>
      </c>
      <c r="Z35" s="94">
        <f>+VLOOKUP($A$35,RESUMIDO!$A$16:$W$27,13,0)*AM$35</f>
        <v>0</v>
      </c>
      <c r="AA35" s="94">
        <f>+VLOOKUP($A$35,RESUMIDO!$A$16:$W$27,14,0)*AM$35</f>
        <v>133841739.56412838</v>
      </c>
      <c r="AB35" s="94">
        <f>+VLOOKUP($A$35,RESUMIDO!$A$16:$W$27,15,0)*AM$35</f>
        <v>197508529.25829092</v>
      </c>
      <c r="AC35" s="94">
        <f>+VLOOKUP($A$35,RESUMIDO!$A$16:$W$27,16,0)*AM$35</f>
        <v>219009919.91782734</v>
      </c>
      <c r="AD35" s="94">
        <f>+VLOOKUP($A$35,RESUMIDO!$A$16:$W$27,17,0)*AM$35</f>
        <v>372618478.05714417</v>
      </c>
      <c r="AE35" s="94">
        <f>+VLOOKUP($A$35,RESUMIDO!$A$16:$W$27,18,0)*AM$35</f>
        <v>372618478.05714417</v>
      </c>
      <c r="AF35" s="94">
        <f>+VLOOKUP($A$35,RESUMIDO!$A$16:$W$27,19,0)*AM$35</f>
        <v>131310738.45620166</v>
      </c>
      <c r="AG35" s="94">
        <f>+VLOOKUP($A$35,RESUMIDO!$A$16:$W$27,20,0)*AM$35</f>
        <v>435196175.10885841</v>
      </c>
      <c r="AH35" s="94">
        <f>+VLOOKUP($A$35,RESUMIDO!$A$16:$W$27,21,0)*AM$35</f>
        <v>469157092.99663711</v>
      </c>
      <c r="AI35" s="94">
        <f>+VLOOKUP($A$35,RESUMIDO!$A$16:$W$27,22,0)*AM$35</f>
        <v>325643654.33178055</v>
      </c>
      <c r="AJ35" s="94">
        <f>+VLOOKUP($A$35,RESUMIDO!$A$16:$W$27,23,0)*AM$35</f>
        <v>325643654.33178055</v>
      </c>
      <c r="AK35" s="94">
        <f>SUM(S35:AJ35)</f>
        <v>5823391299.0670815</v>
      </c>
      <c r="AL35" s="70">
        <f>+F35+R35</f>
        <v>8335630276</v>
      </c>
      <c r="AM35" s="93">
        <f>+R35/R37</f>
        <v>0.55733996053296742</v>
      </c>
    </row>
    <row r="36" spans="1:39" s="71" customFormat="1" x14ac:dyDescent="0.2">
      <c r="A36" s="98" t="s">
        <v>18</v>
      </c>
      <c r="B36" s="101" t="s">
        <v>103</v>
      </c>
      <c r="C36" s="126"/>
      <c r="D36" s="79" t="s">
        <v>105</v>
      </c>
      <c r="E36" s="80" t="s">
        <v>88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/>
      <c r="R36" s="70">
        <v>4625153057</v>
      </c>
      <c r="S36" s="94">
        <f>+VLOOKUP($A$36,RESUMIDO!$A$16:$W$27,6,0)*AM$36</f>
        <v>945725560.27471519</v>
      </c>
      <c r="T36" s="94">
        <f>+VLOOKUP($A$36,RESUMIDO!$A$16:$W$27,7,0)*AM$36</f>
        <v>1310577041.8627923</v>
      </c>
      <c r="U36" s="94">
        <f>+VLOOKUP($A$36,RESUMIDO!$A$16:$W$27,8,0)*AM$36</f>
        <v>0</v>
      </c>
      <c r="V36" s="94">
        <f>+VLOOKUP($A$36,RESUMIDO!$A$16:$W$27,9,0)*AM$36</f>
        <v>0</v>
      </c>
      <c r="W36" s="94">
        <f>+VLOOKUP($A$36,RESUMIDO!$A$16:$W$27,10,0)*AM$36</f>
        <v>0</v>
      </c>
      <c r="X36" s="94">
        <f>+VLOOKUP($A$36,RESUMIDO!$A$16:$W$27,11,0)*AM$36</f>
        <v>0</v>
      </c>
      <c r="Y36" s="94">
        <f>+VLOOKUP($A$36,RESUMIDO!$A$16:$W$27,12,0)*AM$36</f>
        <v>0</v>
      </c>
      <c r="Z36" s="94">
        <f>+VLOOKUP($A$36,RESUMIDO!$A$16:$W$27,13,0)*AM$36</f>
        <v>0</v>
      </c>
      <c r="AA36" s="94">
        <f>+VLOOKUP($A$36,RESUMIDO!$A$16:$W$27,14,0)*AM$36</f>
        <v>106302066.80521852</v>
      </c>
      <c r="AB36" s="94">
        <f>+VLOOKUP($A$36,RESUMIDO!$A$16:$W$27,15,0)*AM$36</f>
        <v>156868589.27708101</v>
      </c>
      <c r="AC36" s="94">
        <f>+VLOOKUP($A$36,RESUMIDO!$A$16:$W$27,16,0)*AM$36</f>
        <v>173945790.10948658</v>
      </c>
      <c r="AD36" s="94">
        <f>+VLOOKUP($A$36,RESUMIDO!$A$16:$W$27,17,0)*AM$36</f>
        <v>295947396.35247165</v>
      </c>
      <c r="AE36" s="94">
        <f>+VLOOKUP($A$36,RESUMIDO!$A$16:$W$27,18,0)*AM$36</f>
        <v>295947396.35247165</v>
      </c>
      <c r="AF36" s="94">
        <f>+VLOOKUP($A$36,RESUMIDO!$A$16:$W$27,19,0)*AM$36</f>
        <v>104291851.98183754</v>
      </c>
      <c r="AG36" s="94">
        <f>+VLOOKUP($A$36,RESUMIDO!$A$16:$W$27,20,0)*AM$36</f>
        <v>345648921.10978234</v>
      </c>
      <c r="AH36" s="94">
        <f>+VLOOKUP($A$36,RESUMIDO!$A$16:$W$27,21,0)*AM$36</f>
        <v>372621939.94404113</v>
      </c>
      <c r="AI36" s="94">
        <f>+VLOOKUP($A$36,RESUMIDO!$A$16:$W$27,22,0)*AM$36</f>
        <v>258638251.49169084</v>
      </c>
      <c r="AJ36" s="94">
        <f>+VLOOKUP($A$36,RESUMIDO!$A$16:$W$27,23,0)*AM$36</f>
        <v>258638251.49169084</v>
      </c>
      <c r="AK36" s="94">
        <f>SUM(S36:AJ36)</f>
        <v>4625153057.0532799</v>
      </c>
      <c r="AL36" s="70">
        <f>+F36+R36</f>
        <v>4625153057</v>
      </c>
      <c r="AM36" s="93">
        <f>+R36/R37</f>
        <v>0.44266003946703253</v>
      </c>
    </row>
    <row r="37" spans="1:39" s="89" customFormat="1" x14ac:dyDescent="0.2">
      <c r="A37" s="124" t="s">
        <v>132</v>
      </c>
      <c r="B37" s="124"/>
      <c r="C37" s="124"/>
      <c r="D37" s="124"/>
      <c r="E37" s="124"/>
      <c r="F37" s="88">
        <f>SUM(F35:F36)</f>
        <v>2512238977</v>
      </c>
      <c r="G37" s="88">
        <f t="shared" ref="G37:T37" si="142">SUM(G35:G36)</f>
        <v>538495349.15086961</v>
      </c>
      <c r="H37" s="88">
        <f t="shared" si="142"/>
        <v>0</v>
      </c>
      <c r="I37" s="88">
        <f t="shared" si="142"/>
        <v>196789994.15275353</v>
      </c>
      <c r="J37" s="88">
        <f t="shared" si="142"/>
        <v>196789994.15275353</v>
      </c>
      <c r="K37" s="88">
        <f t="shared" si="142"/>
        <v>73796247.807282567</v>
      </c>
      <c r="L37" s="88">
        <f t="shared" si="142"/>
        <v>73796247.807282567</v>
      </c>
      <c r="M37" s="88">
        <f t="shared" si="142"/>
        <v>491974985.3818838</v>
      </c>
      <c r="N37" s="88">
        <f t="shared" si="142"/>
        <v>491974985.3818838</v>
      </c>
      <c r="O37" s="88">
        <f t="shared" si="142"/>
        <v>448621173.16529042</v>
      </c>
      <c r="P37" s="88">
        <f t="shared" si="142"/>
        <v>2512238977</v>
      </c>
      <c r="Q37" s="88"/>
      <c r="R37" s="88">
        <f>SUM(R35:R36)</f>
        <v>10448544356</v>
      </c>
      <c r="S37" s="88">
        <f t="shared" si="142"/>
        <v>2136460208.6363587</v>
      </c>
      <c r="T37" s="88">
        <f t="shared" si="142"/>
        <v>2960685232.4884377</v>
      </c>
      <c r="U37" s="88">
        <f t="shared" ref="U37:V37" si="143">SUM(U35:U36)</f>
        <v>0</v>
      </c>
      <c r="V37" s="88">
        <f t="shared" si="143"/>
        <v>0</v>
      </c>
      <c r="W37" s="88">
        <f t="shared" ref="W37:X37" si="144">SUM(W35:W36)</f>
        <v>0</v>
      </c>
      <c r="X37" s="88">
        <f t="shared" si="144"/>
        <v>0</v>
      </c>
      <c r="Y37" s="88">
        <f t="shared" ref="Y37:Z37" si="145">SUM(Y35:Y36)</f>
        <v>0</v>
      </c>
      <c r="Z37" s="88">
        <f t="shared" si="145"/>
        <v>0</v>
      </c>
      <c r="AA37" s="88">
        <f t="shared" ref="AA37:AB37" si="146">SUM(AA35:AA36)</f>
        <v>240143806.36934692</v>
      </c>
      <c r="AB37" s="88">
        <f t="shared" si="146"/>
        <v>354377118.5353719</v>
      </c>
      <c r="AC37" s="88">
        <f t="shared" ref="AC37:AD37" si="147">SUM(AC35:AC36)</f>
        <v>392955710.02731395</v>
      </c>
      <c r="AD37" s="88">
        <f t="shared" si="147"/>
        <v>668565874.40961576</v>
      </c>
      <c r="AE37" s="88">
        <f t="shared" ref="AE37:AF37" si="148">SUM(AE35:AE36)</f>
        <v>668565874.40961576</v>
      </c>
      <c r="AF37" s="88">
        <f t="shared" si="148"/>
        <v>235602590.43803918</v>
      </c>
      <c r="AG37" s="88">
        <f t="shared" ref="AG37:AH37" si="149">SUM(AG35:AG36)</f>
        <v>780845096.2186408</v>
      </c>
      <c r="AH37" s="88">
        <f t="shared" si="149"/>
        <v>841779032.94067824</v>
      </c>
      <c r="AI37" s="88">
        <f t="shared" ref="AI37:AJ37" si="150">SUM(AI35:AI36)</f>
        <v>584281905.82347143</v>
      </c>
      <c r="AJ37" s="88">
        <f t="shared" si="150"/>
        <v>584281905.82347143</v>
      </c>
      <c r="AK37" s="88">
        <f t="shared" ref="AK37" si="151">SUM(AK35:AK36)</f>
        <v>10448544356.120361</v>
      </c>
      <c r="AL37" s="88">
        <f t="shared" ref="AL37" si="152">SUM(AL35:AL36)</f>
        <v>12960783333</v>
      </c>
      <c r="AM37" s="92">
        <f>SUM(AM35:AM36)</f>
        <v>1</v>
      </c>
    </row>
    <row r="38" spans="1:39" ht="15" x14ac:dyDescent="0.2">
      <c r="A38" s="119" t="s">
        <v>44</v>
      </c>
      <c r="B38" s="120"/>
      <c r="C38" s="120"/>
      <c r="D38" s="120"/>
      <c r="E38" s="121"/>
      <c r="F38" s="76">
        <f t="shared" ref="F38:P38" si="153">+F8+F11+F14+F17+F20+F23+F26+F29+F34+F37</f>
        <v>25397382494</v>
      </c>
      <c r="G38" s="76">
        <f t="shared" si="153"/>
        <v>4657102954.1999969</v>
      </c>
      <c r="H38" s="76">
        <f t="shared" si="153"/>
        <v>0</v>
      </c>
      <c r="I38" s="76">
        <f t="shared" si="153"/>
        <v>1999999999.9999998</v>
      </c>
      <c r="J38" s="76">
        <f t="shared" si="153"/>
        <v>1999999999.9999998</v>
      </c>
      <c r="K38" s="76">
        <f t="shared" si="153"/>
        <v>749999999.99999988</v>
      </c>
      <c r="L38" s="76">
        <f t="shared" si="153"/>
        <v>749999999.99999988</v>
      </c>
      <c r="M38" s="76">
        <f t="shared" si="153"/>
        <v>4999999999.999999</v>
      </c>
      <c r="N38" s="76">
        <f t="shared" si="153"/>
        <v>4999999999.999999</v>
      </c>
      <c r="O38" s="76">
        <f t="shared" si="153"/>
        <v>5240279539.800005</v>
      </c>
      <c r="P38" s="76">
        <f t="shared" si="153"/>
        <v>25397382494</v>
      </c>
      <c r="Q38" s="76"/>
      <c r="R38" s="76">
        <f t="shared" ref="R38:AL38" si="154">+R8+R11+R14+R17+R20+R23+R26+R29+R34+R37</f>
        <v>86838201858.669998</v>
      </c>
      <c r="S38" s="76">
        <f t="shared" si="154"/>
        <v>18476882232.799992</v>
      </c>
      <c r="T38" s="76">
        <f t="shared" si="154"/>
        <v>25605078974.999981</v>
      </c>
      <c r="U38" s="76">
        <f t="shared" si="154"/>
        <v>0</v>
      </c>
      <c r="V38" s="76">
        <f t="shared" si="154"/>
        <v>0</v>
      </c>
      <c r="W38" s="76">
        <f t="shared" si="154"/>
        <v>0</v>
      </c>
      <c r="X38" s="76">
        <f t="shared" si="154"/>
        <v>0</v>
      </c>
      <c r="Y38" s="76">
        <f t="shared" si="154"/>
        <v>0</v>
      </c>
      <c r="Z38" s="76">
        <f t="shared" si="154"/>
        <v>0</v>
      </c>
      <c r="AA38" s="76">
        <f t="shared" si="154"/>
        <v>1759720460.1999943</v>
      </c>
      <c r="AB38" s="76">
        <f t="shared" si="154"/>
        <v>3601576595</v>
      </c>
      <c r="AC38" s="76">
        <f t="shared" si="154"/>
        <v>3398423404.9999971</v>
      </c>
      <c r="AD38" s="76">
        <f t="shared" si="154"/>
        <v>5781999999.9999962</v>
      </c>
      <c r="AE38" s="76">
        <f t="shared" si="154"/>
        <v>5781999999.9999962</v>
      </c>
      <c r="AF38" s="76">
        <f t="shared" si="154"/>
        <v>2037576594.999999</v>
      </c>
      <c r="AG38" s="76">
        <f t="shared" si="154"/>
        <v>5705560511.4219856</v>
      </c>
      <c r="AH38" s="76">
        <f t="shared" si="154"/>
        <v>6150798965.0542736</v>
      </c>
      <c r="AI38" s="76">
        <f t="shared" si="154"/>
        <v>4269292060.0366254</v>
      </c>
      <c r="AJ38" s="76">
        <f t="shared" si="154"/>
        <v>4269292060.0366254</v>
      </c>
      <c r="AK38" s="76">
        <f t="shared" si="154"/>
        <v>86838201859.549454</v>
      </c>
      <c r="AL38" s="76">
        <f t="shared" si="154"/>
        <v>112235584352.67</v>
      </c>
      <c r="AM38" s="91"/>
    </row>
    <row r="39" spans="1:39" x14ac:dyDescent="0.2">
      <c r="AL39" s="90">
        <f>+AL38-RESUMIDO!E29</f>
        <v>0</v>
      </c>
    </row>
  </sheetData>
  <mergeCells count="24">
    <mergeCell ref="C6:C7"/>
    <mergeCell ref="A8:E8"/>
    <mergeCell ref="C9:C10"/>
    <mergeCell ref="C21:C22"/>
    <mergeCell ref="A11:E11"/>
    <mergeCell ref="C12:C13"/>
    <mergeCell ref="A14:E14"/>
    <mergeCell ref="C15:C16"/>
    <mergeCell ref="A38:E38"/>
    <mergeCell ref="A1:AM1"/>
    <mergeCell ref="A2:AM2"/>
    <mergeCell ref="G4:P4"/>
    <mergeCell ref="S4:AK4"/>
    <mergeCell ref="A29:E29"/>
    <mergeCell ref="A34:E34"/>
    <mergeCell ref="C35:C36"/>
    <mergeCell ref="A37:E37"/>
    <mergeCell ref="A23:E23"/>
    <mergeCell ref="C24:C25"/>
    <mergeCell ref="A26:E26"/>
    <mergeCell ref="C27:C28"/>
    <mergeCell ref="A17:E17"/>
    <mergeCell ref="C18:C19"/>
    <mergeCell ref="A20:E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tabSelected="1" zoomScale="90" zoomScaleNormal="90" workbookViewId="0">
      <selection activeCell="A2" sqref="A2:AA2"/>
    </sheetView>
  </sheetViews>
  <sheetFormatPr baseColWidth="10" defaultRowHeight="12.75" outlineLevelCol="1" x14ac:dyDescent="0.2"/>
  <cols>
    <col min="1" max="1" width="11.140625" style="69" bestFit="1" customWidth="1"/>
    <col min="2" max="2" width="40.28515625" style="86" bestFit="1" customWidth="1"/>
    <col min="3" max="3" width="19.7109375" style="77" bestFit="1" customWidth="1"/>
    <col min="4" max="6" width="15.5703125" style="103" hidden="1" customWidth="1" outlineLevel="1"/>
    <col min="7" max="8" width="13.85546875" style="103" hidden="1" customWidth="1" outlineLevel="1"/>
    <col min="9" max="11" width="15.5703125" style="103" hidden="1" customWidth="1" outlineLevel="1"/>
    <col min="12" max="12" width="16.85546875" style="103" bestFit="1" customWidth="1" collapsed="1"/>
    <col min="13" max="13" width="19.7109375" style="69" hidden="1" customWidth="1" outlineLevel="1"/>
    <col min="14" max="14" width="19.140625" style="69" hidden="1" customWidth="1" outlineLevel="1"/>
    <col min="15" max="24" width="15.5703125" style="69" hidden="1" customWidth="1" outlineLevel="1"/>
    <col min="25" max="25" width="16.85546875" style="69" bestFit="1" customWidth="1" collapsed="1"/>
    <col min="26" max="26" width="18" style="69" bestFit="1" customWidth="1"/>
    <col min="27" max="27" width="16" style="87" customWidth="1"/>
    <col min="28" max="16384" width="11.42578125" style="69"/>
  </cols>
  <sheetData>
    <row r="1" spans="1:27" s="48" customFormat="1" ht="26.25" x14ac:dyDescent="0.4">
      <c r="A1" s="117" t="s">
        <v>134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</row>
    <row r="2" spans="1:27" s="48" customFormat="1" ht="26.25" x14ac:dyDescent="0.4">
      <c r="A2" s="117" t="s">
        <v>78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</row>
    <row r="3" spans="1:27" s="48" customFormat="1" ht="26.25" x14ac:dyDescent="0.4">
      <c r="A3" s="78"/>
      <c r="B3" s="78"/>
      <c r="C3" s="78"/>
      <c r="D3" s="102"/>
      <c r="E3" s="102"/>
      <c r="F3" s="102"/>
      <c r="G3" s="102"/>
      <c r="H3" s="102"/>
      <c r="I3" s="102"/>
      <c r="J3" s="102"/>
      <c r="K3" s="102"/>
      <c r="L3" s="102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1:27" s="48" customFormat="1" ht="32.25" customHeight="1" x14ac:dyDescent="0.4">
      <c r="A4" s="78"/>
      <c r="B4" s="78"/>
      <c r="C4" s="78"/>
      <c r="D4" s="122" t="s">
        <v>137</v>
      </c>
      <c r="E4" s="122"/>
      <c r="F4" s="122"/>
      <c r="G4" s="122"/>
      <c r="H4" s="122"/>
      <c r="I4" s="122"/>
      <c r="J4" s="122"/>
      <c r="K4" s="122"/>
      <c r="L4" s="122"/>
      <c r="M4" s="123" t="s">
        <v>138</v>
      </c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1:27" s="109" customFormat="1" ht="25.5" x14ac:dyDescent="0.2">
      <c r="A5" s="107" t="s">
        <v>135</v>
      </c>
      <c r="B5" s="108" t="s">
        <v>25</v>
      </c>
      <c r="C5" s="108" t="s">
        <v>83</v>
      </c>
      <c r="D5" s="95" t="s">
        <v>76</v>
      </c>
      <c r="E5" s="95">
        <v>45107</v>
      </c>
      <c r="F5" s="95">
        <v>45290</v>
      </c>
      <c r="G5" s="95">
        <v>45473</v>
      </c>
      <c r="H5" s="95">
        <v>45656</v>
      </c>
      <c r="I5" s="95">
        <v>45838</v>
      </c>
      <c r="J5" s="95">
        <v>46021</v>
      </c>
      <c r="K5" s="95">
        <v>46203</v>
      </c>
      <c r="L5" s="95" t="s">
        <v>136</v>
      </c>
      <c r="M5" s="95" t="s">
        <v>76</v>
      </c>
      <c r="N5" s="95" t="s">
        <v>77</v>
      </c>
      <c r="O5" s="95">
        <v>46203</v>
      </c>
      <c r="P5" s="95">
        <v>46386</v>
      </c>
      <c r="Q5" s="95">
        <v>46386</v>
      </c>
      <c r="R5" s="95">
        <v>46568</v>
      </c>
      <c r="S5" s="95">
        <v>46751</v>
      </c>
      <c r="T5" s="95">
        <v>46934</v>
      </c>
      <c r="U5" s="95">
        <v>47664</v>
      </c>
      <c r="V5" s="95">
        <v>47847</v>
      </c>
      <c r="W5" s="95">
        <v>48029</v>
      </c>
      <c r="X5" s="95">
        <v>48212</v>
      </c>
      <c r="Y5" s="95" t="s">
        <v>139</v>
      </c>
      <c r="Z5" s="95" t="s">
        <v>44</v>
      </c>
      <c r="AA5" s="95" t="s">
        <v>111</v>
      </c>
    </row>
    <row r="6" spans="1:27" s="71" customFormat="1" x14ac:dyDescent="0.2">
      <c r="A6" s="98" t="s">
        <v>16</v>
      </c>
      <c r="B6" s="99" t="s">
        <v>8</v>
      </c>
      <c r="C6" s="80" t="s">
        <v>86</v>
      </c>
      <c r="D6" s="70">
        <v>268980819.12018639</v>
      </c>
      <c r="E6" s="70">
        <v>101342094.0002376</v>
      </c>
      <c r="F6" s="70">
        <v>101342094.0002376</v>
      </c>
      <c r="G6" s="70">
        <v>38003285.250089101</v>
      </c>
      <c r="H6" s="70">
        <v>38003285.250089101</v>
      </c>
      <c r="I6" s="70">
        <v>253355235.00059399</v>
      </c>
      <c r="J6" s="70">
        <v>253355235.00059399</v>
      </c>
      <c r="K6" s="70">
        <v>212660218.37797239</v>
      </c>
      <c r="L6" s="70">
        <v>1267042266.0000002</v>
      </c>
      <c r="M6" s="70">
        <v>593673338.69267941</v>
      </c>
      <c r="N6" s="70">
        <v>822706587.13152373</v>
      </c>
      <c r="O6" s="70">
        <v>79016031.002294749</v>
      </c>
      <c r="P6" s="70">
        <v>101523344.29869889</v>
      </c>
      <c r="Q6" s="70">
        <v>109193387.91672061</v>
      </c>
      <c r="R6" s="70">
        <v>185779137.46874005</v>
      </c>
      <c r="S6" s="70">
        <v>185779137.46874005</v>
      </c>
      <c r="T6" s="70">
        <v>65468561.457210705</v>
      </c>
      <c r="U6" s="70">
        <v>210795114.01169732</v>
      </c>
      <c r="V6" s="70">
        <v>227244696.9068262</v>
      </c>
      <c r="W6" s="70">
        <v>157731375.33868042</v>
      </c>
      <c r="X6" s="70">
        <v>157731375.33868042</v>
      </c>
      <c r="Y6" s="70">
        <v>2896642087.0324922</v>
      </c>
      <c r="Z6" s="70">
        <v>4163684353</v>
      </c>
      <c r="AA6" s="93">
        <f>+Y6/Y8</f>
        <v>0.55630553631930924</v>
      </c>
    </row>
    <row r="7" spans="1:27" s="71" customFormat="1" x14ac:dyDescent="0.2">
      <c r="A7" s="98" t="s">
        <v>16</v>
      </c>
      <c r="B7" s="99" t="s">
        <v>8</v>
      </c>
      <c r="C7" s="80" t="s">
        <v>88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473498026.56211776</v>
      </c>
      <c r="N7" s="70">
        <v>656168839.08624649</v>
      </c>
      <c r="O7" s="70">
        <v>63021079.620564453</v>
      </c>
      <c r="P7" s="70">
        <v>80972312.621073946</v>
      </c>
      <c r="Q7" s="70">
        <v>87089734.913906038</v>
      </c>
      <c r="R7" s="70">
        <v>148172486.84532431</v>
      </c>
      <c r="S7" s="70">
        <v>148172486.84532431</v>
      </c>
      <c r="T7" s="70">
        <v>52215979.110857524</v>
      </c>
      <c r="U7" s="70">
        <v>168124562.76589411</v>
      </c>
      <c r="V7" s="70">
        <v>181244311.50813207</v>
      </c>
      <c r="W7" s="70">
        <v>125802339.57323712</v>
      </c>
      <c r="X7" s="70">
        <v>125802339.57323712</v>
      </c>
      <c r="Y7" s="70">
        <v>2310284499.0259151</v>
      </c>
      <c r="Z7" s="70">
        <v>2310284499</v>
      </c>
      <c r="AA7" s="93">
        <f>+Y7/Y8</f>
        <v>0.44369446368069082</v>
      </c>
    </row>
    <row r="8" spans="1:27" s="71" customFormat="1" x14ac:dyDescent="0.2">
      <c r="A8" s="124" t="s">
        <v>128</v>
      </c>
      <c r="B8" s="124"/>
      <c r="C8" s="124"/>
      <c r="D8" s="83">
        <v>268980819.12018639</v>
      </c>
      <c r="E8" s="83">
        <v>101342094.0002376</v>
      </c>
      <c r="F8" s="83">
        <v>101342094.0002376</v>
      </c>
      <c r="G8" s="83">
        <v>38003285.250089101</v>
      </c>
      <c r="H8" s="83">
        <v>38003285.250089101</v>
      </c>
      <c r="I8" s="83">
        <v>253355235.00059399</v>
      </c>
      <c r="J8" s="83">
        <v>253355235.00059399</v>
      </c>
      <c r="K8" s="83">
        <v>212660218.37797239</v>
      </c>
      <c r="L8" s="83">
        <v>1267042266.0000002</v>
      </c>
      <c r="M8" s="83">
        <v>1067171365.2547972</v>
      </c>
      <c r="N8" s="83">
        <v>1478875426.2177701</v>
      </c>
      <c r="O8" s="83">
        <v>142037110.62285921</v>
      </c>
      <c r="P8" s="83">
        <v>182495656.91977283</v>
      </c>
      <c r="Q8" s="83">
        <v>196283122.83062667</v>
      </c>
      <c r="R8" s="83">
        <v>333951624.31406438</v>
      </c>
      <c r="S8" s="83">
        <v>333951624.31406438</v>
      </c>
      <c r="T8" s="83">
        <v>117684540.56806824</v>
      </c>
      <c r="U8" s="83">
        <v>378919676.77759147</v>
      </c>
      <c r="V8" s="83">
        <v>408489008.41495824</v>
      </c>
      <c r="W8" s="83">
        <v>283533714.91191757</v>
      </c>
      <c r="X8" s="83">
        <v>283533714.91191757</v>
      </c>
      <c r="Y8" s="83">
        <v>5206926586.0584068</v>
      </c>
      <c r="Z8" s="83">
        <v>6473968852</v>
      </c>
      <c r="AA8" s="92">
        <f>SUM($AA$6:$AA$7)</f>
        <v>1</v>
      </c>
    </row>
    <row r="9" spans="1:27" s="71" customFormat="1" x14ac:dyDescent="0.2">
      <c r="A9" s="98" t="s">
        <v>13</v>
      </c>
      <c r="B9" s="99" t="s">
        <v>4</v>
      </c>
      <c r="C9" s="80" t="s">
        <v>86</v>
      </c>
      <c r="D9" s="70">
        <v>507661816.78811336</v>
      </c>
      <c r="E9" s="70">
        <v>243283780.42701474</v>
      </c>
      <c r="F9" s="70">
        <v>243283780.42701474</v>
      </c>
      <c r="G9" s="70">
        <v>91231417.660130531</v>
      </c>
      <c r="H9" s="70">
        <v>91231417.660130531</v>
      </c>
      <c r="I9" s="70">
        <v>608209451.06753683</v>
      </c>
      <c r="J9" s="70">
        <v>608209451.06753683</v>
      </c>
      <c r="K9" s="70">
        <v>700175581.90252209</v>
      </c>
      <c r="L9" s="70">
        <v>3093286696.9999995</v>
      </c>
      <c r="M9" s="70">
        <v>1053753764.7556998</v>
      </c>
      <c r="N9" s="70">
        <v>1460281449.3711517</v>
      </c>
      <c r="O9" s="70">
        <v>79166487.179623827</v>
      </c>
      <c r="P9" s="70">
        <v>229206855.60230872</v>
      </c>
      <c r="Q9" s="70">
        <v>193815245.02523994</v>
      </c>
      <c r="R9" s="70">
        <v>329752833.35418802</v>
      </c>
      <c r="S9" s="70">
        <v>329752833.35418802</v>
      </c>
      <c r="T9" s="70">
        <v>116204886.78267534</v>
      </c>
      <c r="U9" s="70">
        <v>272217549.02631992</v>
      </c>
      <c r="V9" s="70">
        <v>293460285.8858127</v>
      </c>
      <c r="W9" s="70">
        <v>203691857.85237628</v>
      </c>
      <c r="X9" s="70">
        <v>203691857.85237628</v>
      </c>
      <c r="Y9" s="70">
        <v>4764995906.0419598</v>
      </c>
      <c r="Z9" s="70">
        <v>7858282603</v>
      </c>
      <c r="AA9" s="93">
        <f>+Y9/Y11</f>
        <v>0.52318078818344171</v>
      </c>
    </row>
    <row r="10" spans="1:27" s="71" customFormat="1" x14ac:dyDescent="0.2">
      <c r="A10" s="98" t="s">
        <v>13</v>
      </c>
      <c r="B10" s="99" t="s">
        <v>4</v>
      </c>
      <c r="C10" s="80" t="s">
        <v>88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960375554.50788188</v>
      </c>
      <c r="N10" s="70">
        <v>1330878857.6451988</v>
      </c>
      <c r="O10" s="70">
        <v>72151162.412405625</v>
      </c>
      <c r="P10" s="70">
        <v>208895729.16221899</v>
      </c>
      <c r="Q10" s="70">
        <v>176640340.12381354</v>
      </c>
      <c r="R10" s="70">
        <v>300531842.23402846</v>
      </c>
      <c r="S10" s="70">
        <v>300531842.23402846</v>
      </c>
      <c r="T10" s="70">
        <v>105907410.54795727</v>
      </c>
      <c r="U10" s="70">
        <v>248095037.31978431</v>
      </c>
      <c r="V10" s="70">
        <v>267455352.67337179</v>
      </c>
      <c r="W10" s="70">
        <v>185641738.58877635</v>
      </c>
      <c r="X10" s="70">
        <v>185641738.58877635</v>
      </c>
      <c r="Y10" s="70">
        <v>4342746606.0382423</v>
      </c>
      <c r="Z10" s="70">
        <v>4342746606</v>
      </c>
      <c r="AA10" s="93">
        <f>+Y10/Y11</f>
        <v>0.47681921181655829</v>
      </c>
    </row>
    <row r="11" spans="1:27" s="89" customFormat="1" x14ac:dyDescent="0.2">
      <c r="A11" s="124" t="s">
        <v>123</v>
      </c>
      <c r="B11" s="124"/>
      <c r="C11" s="124"/>
      <c r="D11" s="88">
        <v>507661816.78811336</v>
      </c>
      <c r="E11" s="88">
        <v>243283780.42701474</v>
      </c>
      <c r="F11" s="88">
        <v>243283780.42701474</v>
      </c>
      <c r="G11" s="88">
        <v>91231417.660130531</v>
      </c>
      <c r="H11" s="88">
        <v>91231417.660130531</v>
      </c>
      <c r="I11" s="88">
        <v>608209451.06753683</v>
      </c>
      <c r="J11" s="88">
        <v>608209451.06753683</v>
      </c>
      <c r="K11" s="88">
        <v>700175581.90252209</v>
      </c>
      <c r="L11" s="88">
        <v>3093286696.9999995</v>
      </c>
      <c r="M11" s="88">
        <v>2014129319.2635818</v>
      </c>
      <c r="N11" s="88">
        <v>2791160307.0163507</v>
      </c>
      <c r="O11" s="88">
        <v>151317649.59202945</v>
      </c>
      <c r="P11" s="88">
        <v>438102584.76452768</v>
      </c>
      <c r="Q11" s="88">
        <v>370455585.14905345</v>
      </c>
      <c r="R11" s="88">
        <v>630284675.58821654</v>
      </c>
      <c r="S11" s="88">
        <v>630284675.58821654</v>
      </c>
      <c r="T11" s="88">
        <v>222112297.33063263</v>
      </c>
      <c r="U11" s="88">
        <v>520312586.34610426</v>
      </c>
      <c r="V11" s="88">
        <v>560915638.55918455</v>
      </c>
      <c r="W11" s="88">
        <v>389333596.44115263</v>
      </c>
      <c r="X11" s="88">
        <v>389333596.44115263</v>
      </c>
      <c r="Y11" s="88">
        <v>9107742512.0802021</v>
      </c>
      <c r="Z11" s="88">
        <v>12201029209</v>
      </c>
      <c r="AA11" s="92">
        <f>SUM(AA9:AA10)</f>
        <v>1</v>
      </c>
    </row>
    <row r="12" spans="1:27" s="71" customFormat="1" x14ac:dyDescent="0.2">
      <c r="A12" s="98" t="s">
        <v>15</v>
      </c>
      <c r="B12" s="99" t="s">
        <v>1</v>
      </c>
      <c r="C12" s="80" t="s">
        <v>86</v>
      </c>
      <c r="D12" s="70">
        <v>734200033.6799612</v>
      </c>
      <c r="E12" s="70">
        <v>348027658.99024224</v>
      </c>
      <c r="F12" s="70">
        <v>348027658.99024224</v>
      </c>
      <c r="G12" s="70">
        <v>130510372.12134084</v>
      </c>
      <c r="H12" s="70">
        <v>130510372.12134084</v>
      </c>
      <c r="I12" s="70">
        <v>870069147.47560561</v>
      </c>
      <c r="J12" s="70">
        <v>870069147.47560561</v>
      </c>
      <c r="K12" s="70">
        <v>1024053603.1456622</v>
      </c>
      <c r="L12" s="70">
        <v>4455467994</v>
      </c>
      <c r="M12" s="70">
        <v>1522800465.9656463</v>
      </c>
      <c r="N12" s="70">
        <v>2110281686.2143512</v>
      </c>
      <c r="O12" s="70">
        <v>101441154.82012685</v>
      </c>
      <c r="P12" s="70">
        <v>327636417.9346137</v>
      </c>
      <c r="Q12" s="70">
        <v>280086254.78468055</v>
      </c>
      <c r="R12" s="70">
        <v>476532359.91205835</v>
      </c>
      <c r="S12" s="70">
        <v>476532359.91205835</v>
      </c>
      <c r="T12" s="70">
        <v>167929986.73762131</v>
      </c>
      <c r="U12" s="70">
        <v>404405929.29160982</v>
      </c>
      <c r="V12" s="70">
        <v>435964103.15324312</v>
      </c>
      <c r="W12" s="70">
        <v>302604278.66816258</v>
      </c>
      <c r="X12" s="70">
        <v>302604278.66816258</v>
      </c>
      <c r="Y12" s="70">
        <v>6908819276.0623341</v>
      </c>
      <c r="Z12" s="70">
        <v>11364287270</v>
      </c>
      <c r="AA12" s="93">
        <f>+Y12/Y14</f>
        <v>0.52277612966810016</v>
      </c>
    </row>
    <row r="13" spans="1:27" s="71" customFormat="1" x14ac:dyDescent="0.2">
      <c r="A13" s="98" t="s">
        <v>15</v>
      </c>
      <c r="B13" s="99" t="s">
        <v>1</v>
      </c>
      <c r="C13" s="80" t="s">
        <v>88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1390110777.5764813</v>
      </c>
      <c r="N13" s="70">
        <v>1926401640.459584</v>
      </c>
      <c r="O13" s="70">
        <v>92602048.500058696</v>
      </c>
      <c r="P13" s="70">
        <v>299087717.58133519</v>
      </c>
      <c r="Q13" s="70">
        <v>255680852.56679997</v>
      </c>
      <c r="R13" s="70">
        <v>435009565.719854</v>
      </c>
      <c r="S13" s="70">
        <v>435009565.719854</v>
      </c>
      <c r="T13" s="70">
        <v>153297355.53647333</v>
      </c>
      <c r="U13" s="70">
        <v>369167893.88267863</v>
      </c>
      <c r="V13" s="70">
        <v>397976236.52911341</v>
      </c>
      <c r="W13" s="70">
        <v>276236761.49233562</v>
      </c>
      <c r="X13" s="70">
        <v>276236761.49233562</v>
      </c>
      <c r="Y13" s="70">
        <v>6306817177.0569038</v>
      </c>
      <c r="Z13" s="70">
        <v>6306817177</v>
      </c>
      <c r="AA13" s="93">
        <f>+Y13/Y14</f>
        <v>0.47722387033189984</v>
      </c>
    </row>
    <row r="14" spans="1:27" s="89" customFormat="1" x14ac:dyDescent="0.2">
      <c r="A14" s="124" t="s">
        <v>124</v>
      </c>
      <c r="B14" s="124"/>
      <c r="C14" s="124"/>
      <c r="D14" s="88">
        <v>734200033.6799612</v>
      </c>
      <c r="E14" s="88">
        <v>348027658.99024224</v>
      </c>
      <c r="F14" s="88">
        <v>348027658.99024224</v>
      </c>
      <c r="G14" s="88">
        <v>130510372.12134084</v>
      </c>
      <c r="H14" s="88">
        <v>130510372.12134084</v>
      </c>
      <c r="I14" s="88">
        <v>870069147.47560561</v>
      </c>
      <c r="J14" s="88">
        <v>870069147.47560561</v>
      </c>
      <c r="K14" s="88">
        <v>1024053603.1456622</v>
      </c>
      <c r="L14" s="88">
        <v>4455467994</v>
      </c>
      <c r="M14" s="88">
        <v>2912911243.5421276</v>
      </c>
      <c r="N14" s="88">
        <v>4036683326.6739349</v>
      </c>
      <c r="O14" s="88">
        <v>194043203.32018554</v>
      </c>
      <c r="P14" s="88">
        <v>626724135.51594889</v>
      </c>
      <c r="Q14" s="88">
        <v>535767107.35148048</v>
      </c>
      <c r="R14" s="88">
        <v>911541925.63191235</v>
      </c>
      <c r="S14" s="88">
        <v>911541925.63191235</v>
      </c>
      <c r="T14" s="88">
        <v>321227342.27409464</v>
      </c>
      <c r="U14" s="88">
        <v>773573823.17428851</v>
      </c>
      <c r="V14" s="88">
        <v>833940339.6823566</v>
      </c>
      <c r="W14" s="88">
        <v>578841040.16049814</v>
      </c>
      <c r="X14" s="88">
        <v>578841040.16049814</v>
      </c>
      <c r="Y14" s="88">
        <v>13215636453.119238</v>
      </c>
      <c r="Z14" s="88">
        <v>17671104447</v>
      </c>
      <c r="AA14" s="92">
        <f>SUM(AA12:AA13)</f>
        <v>1</v>
      </c>
    </row>
    <row r="15" spans="1:27" s="71" customFormat="1" x14ac:dyDescent="0.2">
      <c r="A15" s="98" t="s">
        <v>14</v>
      </c>
      <c r="B15" s="99" t="s">
        <v>5</v>
      </c>
      <c r="C15" s="80" t="s">
        <v>86</v>
      </c>
      <c r="D15" s="70">
        <v>503150304.36348867</v>
      </c>
      <c r="E15" s="70">
        <v>240934792.25741291</v>
      </c>
      <c r="F15" s="70">
        <v>240934792.25741291</v>
      </c>
      <c r="G15" s="70">
        <v>90350547.096529841</v>
      </c>
      <c r="H15" s="70">
        <v>90350547.096529841</v>
      </c>
      <c r="I15" s="70">
        <v>602336980.64353228</v>
      </c>
      <c r="J15" s="70">
        <v>602336980.64353228</v>
      </c>
      <c r="K15" s="70">
        <v>694512975.64156103</v>
      </c>
      <c r="L15" s="70">
        <v>3064907920</v>
      </c>
      <c r="M15" s="70">
        <v>1042477711.0858352</v>
      </c>
      <c r="N15" s="70">
        <v>1444655206.7450724</v>
      </c>
      <c r="O15" s="70">
        <v>77685299.615964845</v>
      </c>
      <c r="P15" s="70">
        <v>226578326.8041245</v>
      </c>
      <c r="Q15" s="70">
        <v>191741258.50387338</v>
      </c>
      <c r="R15" s="70">
        <v>326224200.03295493</v>
      </c>
      <c r="S15" s="70">
        <v>326224200.03295493</v>
      </c>
      <c r="T15" s="70">
        <v>114961396.52538</v>
      </c>
      <c r="U15" s="70">
        <v>272214791.23662537</v>
      </c>
      <c r="V15" s="70">
        <v>293457312.88956362</v>
      </c>
      <c r="W15" s="70">
        <v>203689794.28480521</v>
      </c>
      <c r="X15" s="70">
        <v>203689794.28480521</v>
      </c>
      <c r="Y15" s="70">
        <v>4723599292.0419607</v>
      </c>
      <c r="Z15" s="70">
        <v>7788507212</v>
      </c>
      <c r="AA15" s="93">
        <f>+Y15/Y17</f>
        <v>0.52222323013615413</v>
      </c>
    </row>
    <row r="16" spans="1:27" s="71" customFormat="1" x14ac:dyDescent="0.2">
      <c r="A16" s="98" t="s">
        <v>14</v>
      </c>
      <c r="B16" s="99" t="s">
        <v>5</v>
      </c>
      <c r="C16" s="80" t="s">
        <v>88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953752350.93963313</v>
      </c>
      <c r="N16" s="70">
        <v>1321700488.2484689</v>
      </c>
      <c r="O16" s="70">
        <v>71073497.64341931</v>
      </c>
      <c r="P16" s="70">
        <v>207294227.55361828</v>
      </c>
      <c r="Q16" s="70">
        <v>175422144.88184467</v>
      </c>
      <c r="R16" s="70">
        <v>298459232.65904117</v>
      </c>
      <c r="S16" s="70">
        <v>298459232.65904117</v>
      </c>
      <c r="T16" s="70">
        <v>105177023.00721581</v>
      </c>
      <c r="U16" s="70">
        <v>249046568.90174598</v>
      </c>
      <c r="V16" s="70">
        <v>268481137.86271995</v>
      </c>
      <c r="W16" s="70">
        <v>186353739.84081998</v>
      </c>
      <c r="X16" s="70">
        <v>186353739.84081998</v>
      </c>
      <c r="Y16" s="70">
        <v>4321573384.0383883</v>
      </c>
      <c r="Z16" s="70">
        <v>4321573384</v>
      </c>
      <c r="AA16" s="93">
        <f>+Y16/Y17</f>
        <v>0.47777676986384593</v>
      </c>
    </row>
    <row r="17" spans="1:27" s="89" customFormat="1" x14ac:dyDescent="0.2">
      <c r="A17" s="124" t="s">
        <v>125</v>
      </c>
      <c r="B17" s="124"/>
      <c r="C17" s="124"/>
      <c r="D17" s="88">
        <v>503150304.36348867</v>
      </c>
      <c r="E17" s="88">
        <v>240934792.25741291</v>
      </c>
      <c r="F17" s="88">
        <v>240934792.25741291</v>
      </c>
      <c r="G17" s="88">
        <v>90350547.096529841</v>
      </c>
      <c r="H17" s="88">
        <v>90350547.096529841</v>
      </c>
      <c r="I17" s="88">
        <v>602336980.64353228</v>
      </c>
      <c r="J17" s="88">
        <v>602336980.64353228</v>
      </c>
      <c r="K17" s="88">
        <v>694512975.64156103</v>
      </c>
      <c r="L17" s="88">
        <v>3064907920</v>
      </c>
      <c r="M17" s="88">
        <v>1996230062.0254683</v>
      </c>
      <c r="N17" s="88">
        <v>2766355694.9935412</v>
      </c>
      <c r="O17" s="88">
        <v>148758797.25938416</v>
      </c>
      <c r="P17" s="88">
        <v>433872554.35774279</v>
      </c>
      <c r="Q17" s="88">
        <v>367163403.38571805</v>
      </c>
      <c r="R17" s="88">
        <v>624683432.6919961</v>
      </c>
      <c r="S17" s="88">
        <v>624683432.6919961</v>
      </c>
      <c r="T17" s="88">
        <v>220138419.53259581</v>
      </c>
      <c r="U17" s="88">
        <v>521261360.13837135</v>
      </c>
      <c r="V17" s="88">
        <v>561938450.75228357</v>
      </c>
      <c r="W17" s="88">
        <v>390043534.12562519</v>
      </c>
      <c r="X17" s="88">
        <v>390043534.12562519</v>
      </c>
      <c r="Y17" s="88">
        <v>9045172676.080349</v>
      </c>
      <c r="Z17" s="88">
        <v>12110080596</v>
      </c>
      <c r="AA17" s="92">
        <f>SUM(AA15:AA16)</f>
        <v>1</v>
      </c>
    </row>
    <row r="18" spans="1:27" s="71" customFormat="1" ht="12.75" customHeight="1" x14ac:dyDescent="0.2">
      <c r="A18" s="98" t="s">
        <v>17</v>
      </c>
      <c r="B18" s="99" t="s">
        <v>9</v>
      </c>
      <c r="C18" s="80" t="s">
        <v>86</v>
      </c>
      <c r="D18" s="70">
        <v>127240920.89214934</v>
      </c>
      <c r="E18" s="70">
        <v>59068249.155918308</v>
      </c>
      <c r="F18" s="70">
        <v>59068249.155918308</v>
      </c>
      <c r="G18" s="70">
        <v>22150593.433469366</v>
      </c>
      <c r="H18" s="70">
        <v>22150593.433469366</v>
      </c>
      <c r="I18" s="70">
        <v>147670622.88979578</v>
      </c>
      <c r="J18" s="70">
        <v>147670622.88979578</v>
      </c>
      <c r="K18" s="70">
        <v>181207128.14948374</v>
      </c>
      <c r="L18" s="70">
        <v>766226980</v>
      </c>
      <c r="M18" s="70">
        <v>264560500.17860758</v>
      </c>
      <c r="N18" s="70">
        <v>366625300.49108821</v>
      </c>
      <c r="O18" s="70">
        <v>13380299.266531495</v>
      </c>
      <c r="P18" s="70">
        <v>55744510.39951136</v>
      </c>
      <c r="Q18" s="70">
        <v>48660189.772137664</v>
      </c>
      <c r="R18" s="70">
        <v>82789336.034042507</v>
      </c>
      <c r="S18" s="70">
        <v>82789336.034042507</v>
      </c>
      <c r="T18" s="70">
        <v>29174959.083112273</v>
      </c>
      <c r="U18" s="70">
        <v>72644314.853303656</v>
      </c>
      <c r="V18" s="70">
        <v>78313178.121989056</v>
      </c>
      <c r="W18" s="70">
        <v>54357463.388415553</v>
      </c>
      <c r="X18" s="70">
        <v>54357463.388415553</v>
      </c>
      <c r="Y18" s="70">
        <v>1203396851.0111973</v>
      </c>
      <c r="Z18" s="70">
        <v>1969623831</v>
      </c>
      <c r="AA18" s="93">
        <f>+Y18/Y20</f>
        <v>0.52406523114572856</v>
      </c>
    </row>
    <row r="19" spans="1:27" s="71" customFormat="1" x14ac:dyDescent="0.2">
      <c r="A19" s="98" t="s">
        <v>17</v>
      </c>
      <c r="B19" s="99" t="s">
        <v>9</v>
      </c>
      <c r="C19" s="80" t="s">
        <v>88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240263106.60831246</v>
      </c>
      <c r="N19" s="70">
        <v>332954215.00082874</v>
      </c>
      <c r="O19" s="70">
        <v>12151444.629698845</v>
      </c>
      <c r="P19" s="70">
        <v>50624901.434280582</v>
      </c>
      <c r="Q19" s="70">
        <v>44191209.02368623</v>
      </c>
      <c r="R19" s="70">
        <v>75185914.209225431</v>
      </c>
      <c r="S19" s="70">
        <v>75185914.209225431</v>
      </c>
      <c r="T19" s="70">
        <v>26495513.501624987</v>
      </c>
      <c r="U19" s="70">
        <v>65972617.803125948</v>
      </c>
      <c r="V19" s="70">
        <v>71120849.300090134</v>
      </c>
      <c r="W19" s="70">
        <v>49365241.64503514</v>
      </c>
      <c r="X19" s="70">
        <v>49365241.64503514</v>
      </c>
      <c r="Y19" s="70">
        <v>1092876169.010169</v>
      </c>
      <c r="Z19" s="70">
        <v>1092876169</v>
      </c>
      <c r="AA19" s="93">
        <f>+Y19/Y20</f>
        <v>0.47593476885427161</v>
      </c>
    </row>
    <row r="20" spans="1:27" s="89" customFormat="1" x14ac:dyDescent="0.2">
      <c r="A20" s="124" t="s">
        <v>129</v>
      </c>
      <c r="B20" s="124"/>
      <c r="C20" s="124"/>
      <c r="D20" s="88">
        <v>127240920.89214934</v>
      </c>
      <c r="E20" s="88">
        <v>59068249.155918308</v>
      </c>
      <c r="F20" s="88">
        <v>59068249.155918308</v>
      </c>
      <c r="G20" s="88">
        <v>22150593.433469366</v>
      </c>
      <c r="H20" s="88">
        <v>22150593.433469366</v>
      </c>
      <c r="I20" s="88">
        <v>147670622.88979578</v>
      </c>
      <c r="J20" s="88">
        <v>147670622.88979578</v>
      </c>
      <c r="K20" s="88">
        <v>181207128.14948374</v>
      </c>
      <c r="L20" s="88">
        <v>766226980</v>
      </c>
      <c r="M20" s="88">
        <v>504823606.78692007</v>
      </c>
      <c r="N20" s="88">
        <v>699579515.49191689</v>
      </c>
      <c r="O20" s="88">
        <v>25531743.89623034</v>
      </c>
      <c r="P20" s="88">
        <v>106369411.83379194</v>
      </c>
      <c r="Q20" s="88">
        <v>92851398.795823902</v>
      </c>
      <c r="R20" s="88">
        <v>157975250.24326795</v>
      </c>
      <c r="S20" s="88">
        <v>157975250.24326795</v>
      </c>
      <c r="T20" s="88">
        <v>55670472.584737256</v>
      </c>
      <c r="U20" s="88">
        <v>138616932.65642959</v>
      </c>
      <c r="V20" s="88">
        <v>149434027.42207921</v>
      </c>
      <c r="W20" s="88">
        <v>103722705.03345069</v>
      </c>
      <c r="X20" s="88">
        <v>103722705.03345069</v>
      </c>
      <c r="Y20" s="88">
        <v>2296273020.0213661</v>
      </c>
      <c r="Z20" s="88">
        <v>3062500000</v>
      </c>
      <c r="AA20" s="92">
        <f>SUM(AA18:AA19)</f>
        <v>1.0000000000000002</v>
      </c>
    </row>
    <row r="21" spans="1:27" s="71" customFormat="1" x14ac:dyDescent="0.2">
      <c r="A21" s="98" t="s">
        <v>20</v>
      </c>
      <c r="B21" s="99" t="s">
        <v>7</v>
      </c>
      <c r="C21" s="80" t="s">
        <v>86</v>
      </c>
      <c r="D21" s="70">
        <v>347121001.63867009</v>
      </c>
      <c r="E21" s="70">
        <v>131606363.51731086</v>
      </c>
      <c r="F21" s="70">
        <v>131606363.51731086</v>
      </c>
      <c r="G21" s="70">
        <v>49352386.318991572</v>
      </c>
      <c r="H21" s="70">
        <v>49352386.318991572</v>
      </c>
      <c r="I21" s="70">
        <v>329015908.79327714</v>
      </c>
      <c r="J21" s="70">
        <v>329015908.79327714</v>
      </c>
      <c r="K21" s="70">
        <v>271346405.10217094</v>
      </c>
      <c r="L21" s="70">
        <v>1638416724</v>
      </c>
      <c r="M21" s="70">
        <v>765265995.56947398</v>
      </c>
      <c r="N21" s="70">
        <v>1060497978.3144394</v>
      </c>
      <c r="O21" s="70">
        <v>105175338.53075233</v>
      </c>
      <c r="P21" s="70">
        <v>131691645.02591622</v>
      </c>
      <c r="Q21" s="70">
        <v>140754150.92364398</v>
      </c>
      <c r="R21" s="70">
        <v>239475899.16051364</v>
      </c>
      <c r="S21" s="70">
        <v>239475899.16051364</v>
      </c>
      <c r="T21" s="70">
        <v>84391298.37358056</v>
      </c>
      <c r="U21" s="70">
        <v>269073819.95439947</v>
      </c>
      <c r="V21" s="70">
        <v>290071233.1392386</v>
      </c>
      <c r="W21" s="70">
        <v>201339503.94450209</v>
      </c>
      <c r="X21" s="70">
        <v>201339503.94450209</v>
      </c>
      <c r="Y21" s="70">
        <v>3728552266.0414762</v>
      </c>
      <c r="Z21" s="70">
        <v>5366968990</v>
      </c>
      <c r="AA21" s="93">
        <f>+Y21/Y23</f>
        <v>0.55567220524178484</v>
      </c>
    </row>
    <row r="22" spans="1:27" s="71" customFormat="1" x14ac:dyDescent="0.2">
      <c r="A22" s="98" t="s">
        <v>20</v>
      </c>
      <c r="B22" s="99" t="s">
        <v>7</v>
      </c>
      <c r="C22" s="80" t="s">
        <v>88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611923628.72798467</v>
      </c>
      <c r="N22" s="70">
        <v>847997656.90091932</v>
      </c>
      <c r="O22" s="70">
        <v>84100528.677664727</v>
      </c>
      <c r="P22" s="70">
        <v>105303554.27258813</v>
      </c>
      <c r="Q22" s="70">
        <v>112550134.58115077</v>
      </c>
      <c r="R22" s="70">
        <v>191490229.61375636</v>
      </c>
      <c r="S22" s="70">
        <v>191490229.61375636</v>
      </c>
      <c r="T22" s="70">
        <v>67481150.126628473</v>
      </c>
      <c r="U22" s="70">
        <v>215157382.21148843</v>
      </c>
      <c r="V22" s="70">
        <v>231947378.55832219</v>
      </c>
      <c r="W22" s="70">
        <v>160995523.87445274</v>
      </c>
      <c r="X22" s="70">
        <v>160995523.87445274</v>
      </c>
      <c r="Y22" s="70">
        <v>2981432921.033165</v>
      </c>
      <c r="Z22" s="70">
        <v>2981432921</v>
      </c>
      <c r="AA22" s="93">
        <f>+Y22/Y23</f>
        <v>0.44432779475821516</v>
      </c>
    </row>
    <row r="23" spans="1:27" s="89" customFormat="1" x14ac:dyDescent="0.2">
      <c r="A23" s="124" t="s">
        <v>126</v>
      </c>
      <c r="B23" s="124"/>
      <c r="C23" s="124"/>
      <c r="D23" s="88">
        <v>347121001.63867009</v>
      </c>
      <c r="E23" s="88">
        <v>131606363.51731086</v>
      </c>
      <c r="F23" s="88">
        <v>131606363.51731086</v>
      </c>
      <c r="G23" s="88">
        <v>49352386.318991572</v>
      </c>
      <c r="H23" s="88">
        <v>49352386.318991572</v>
      </c>
      <c r="I23" s="88">
        <v>329015908.79327714</v>
      </c>
      <c r="J23" s="88">
        <v>329015908.79327714</v>
      </c>
      <c r="K23" s="88">
        <v>271346405.10217094</v>
      </c>
      <c r="L23" s="88">
        <v>1638416724</v>
      </c>
      <c r="M23" s="88">
        <v>1377189624.2974586</v>
      </c>
      <c r="N23" s="88">
        <v>1908495635.2153587</v>
      </c>
      <c r="O23" s="88">
        <v>189275867.20841706</v>
      </c>
      <c r="P23" s="88">
        <v>236995199.29850435</v>
      </c>
      <c r="Q23" s="88">
        <v>253304285.50479475</v>
      </c>
      <c r="R23" s="88">
        <v>430966128.77427</v>
      </c>
      <c r="S23" s="88">
        <v>430966128.77427</v>
      </c>
      <c r="T23" s="88">
        <v>151872448.50020903</v>
      </c>
      <c r="U23" s="88">
        <v>484231202.16588789</v>
      </c>
      <c r="V23" s="88">
        <v>522018611.69756079</v>
      </c>
      <c r="W23" s="88">
        <v>362335027.81895483</v>
      </c>
      <c r="X23" s="88">
        <v>362335027.81895483</v>
      </c>
      <c r="Y23" s="88">
        <v>6709985187.0746412</v>
      </c>
      <c r="Z23" s="88">
        <v>8348401911</v>
      </c>
      <c r="AA23" s="92">
        <f>SUM(AA21:AA22)</f>
        <v>1</v>
      </c>
    </row>
    <row r="24" spans="1:27" s="71" customFormat="1" x14ac:dyDescent="0.2">
      <c r="A24" s="98" t="s">
        <v>11</v>
      </c>
      <c r="B24" s="99" t="s">
        <v>10</v>
      </c>
      <c r="C24" s="80" t="s">
        <v>86</v>
      </c>
      <c r="D24" s="70">
        <v>23119148.538304109</v>
      </c>
      <c r="E24" s="70">
        <v>8791601.308418503</v>
      </c>
      <c r="F24" s="70">
        <v>8791601.308418503</v>
      </c>
      <c r="G24" s="70">
        <v>3296850.4906569384</v>
      </c>
      <c r="H24" s="70">
        <v>3296850.4906569384</v>
      </c>
      <c r="I24" s="70">
        <v>21979003.271046255</v>
      </c>
      <c r="J24" s="70">
        <v>21979003.271046255</v>
      </c>
      <c r="K24" s="70">
        <v>17973723.32145251</v>
      </c>
      <c r="L24" s="70">
        <v>109227782.00000001</v>
      </c>
      <c r="M24" s="70">
        <v>50997253.710015506</v>
      </c>
      <c r="N24" s="70">
        <v>70671485.172700509</v>
      </c>
      <c r="O24" s="70">
        <v>7114858.0910420222</v>
      </c>
      <c r="P24" s="70">
        <v>8802230.6987774614</v>
      </c>
      <c r="Q24" s="70">
        <v>9379843.3315324653</v>
      </c>
      <c r="R24" s="70">
        <v>15958651.315526918</v>
      </c>
      <c r="S24" s="70">
        <v>15958651.315526918</v>
      </c>
      <c r="T24" s="70">
        <v>5623828.1577799385</v>
      </c>
      <c r="U24" s="70">
        <v>17942816.647259619</v>
      </c>
      <c r="V24" s="70">
        <v>19343000.191337481</v>
      </c>
      <c r="W24" s="70">
        <v>13426047.185633447</v>
      </c>
      <c r="X24" s="70">
        <v>13426047.185633447</v>
      </c>
      <c r="Y24" s="70">
        <v>248644713.00276577</v>
      </c>
      <c r="Z24" s="70">
        <v>357872495</v>
      </c>
      <c r="AA24" s="93">
        <f>+Y24/Y26</f>
        <v>0.5559837547595704</v>
      </c>
    </row>
    <row r="25" spans="1:27" s="71" customFormat="1" x14ac:dyDescent="0.2">
      <c r="A25" s="98" t="s">
        <v>11</v>
      </c>
      <c r="B25" s="99" t="s">
        <v>10</v>
      </c>
      <c r="C25" s="80" t="s">
        <v>88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40727105.632225998</v>
      </c>
      <c r="N25" s="70">
        <v>56439216.475878589</v>
      </c>
      <c r="O25" s="70">
        <v>5682023.1669702232</v>
      </c>
      <c r="P25" s="70">
        <v>7029582.0537082637</v>
      </c>
      <c r="Q25" s="70">
        <v>7490871.4172980757</v>
      </c>
      <c r="R25" s="70">
        <v>12744797.623243026</v>
      </c>
      <c r="S25" s="70">
        <v>12744797.623243026</v>
      </c>
      <c r="T25" s="70">
        <v>4491266.2305658273</v>
      </c>
      <c r="U25" s="70">
        <v>14329379.246339489</v>
      </c>
      <c r="V25" s="70">
        <v>15447585.011466099</v>
      </c>
      <c r="W25" s="70">
        <v>10722225.260635074</v>
      </c>
      <c r="X25" s="70">
        <v>10722225.260635074</v>
      </c>
      <c r="Y25" s="70">
        <v>198571075.00220877</v>
      </c>
      <c r="Z25" s="70">
        <v>198571075</v>
      </c>
      <c r="AA25" s="93">
        <f>+Y25/Y26</f>
        <v>0.44401624524042965</v>
      </c>
    </row>
    <row r="26" spans="1:27" s="89" customFormat="1" x14ac:dyDescent="0.2">
      <c r="A26" s="124" t="s">
        <v>127</v>
      </c>
      <c r="B26" s="124"/>
      <c r="C26" s="124"/>
      <c r="D26" s="88">
        <v>23119148.538304109</v>
      </c>
      <c r="E26" s="88">
        <v>8791601.308418503</v>
      </c>
      <c r="F26" s="88">
        <v>8791601.308418503</v>
      </c>
      <c r="G26" s="88">
        <v>3296850.4906569384</v>
      </c>
      <c r="H26" s="88">
        <v>3296850.4906569384</v>
      </c>
      <c r="I26" s="88">
        <v>21979003.271046255</v>
      </c>
      <c r="J26" s="88">
        <v>21979003.271046255</v>
      </c>
      <c r="K26" s="88">
        <v>17973723.32145251</v>
      </c>
      <c r="L26" s="88">
        <v>109227782.00000001</v>
      </c>
      <c r="M26" s="88">
        <v>91724359.342241496</v>
      </c>
      <c r="N26" s="88">
        <v>127110701.64857909</v>
      </c>
      <c r="O26" s="88">
        <v>12796881.258012246</v>
      </c>
      <c r="P26" s="88">
        <v>15831812.752485726</v>
      </c>
      <c r="Q26" s="88">
        <v>16870714.748830542</v>
      </c>
      <c r="R26" s="88">
        <v>28703448.938769944</v>
      </c>
      <c r="S26" s="88">
        <v>28703448.938769944</v>
      </c>
      <c r="T26" s="88">
        <v>10115094.388345767</v>
      </c>
      <c r="U26" s="88">
        <v>32272195.893599108</v>
      </c>
      <c r="V26" s="88">
        <v>34790585.202803582</v>
      </c>
      <c r="W26" s="88">
        <v>24148272.446268521</v>
      </c>
      <c r="X26" s="88">
        <v>24148272.446268521</v>
      </c>
      <c r="Y26" s="88">
        <v>447215788.00497454</v>
      </c>
      <c r="Z26" s="88">
        <v>556443570</v>
      </c>
      <c r="AA26" s="92">
        <f>SUM(AA24:AA25)</f>
        <v>1</v>
      </c>
    </row>
    <row r="27" spans="1:27" s="71" customFormat="1" ht="12.75" customHeight="1" x14ac:dyDescent="0.2">
      <c r="A27" s="98" t="s">
        <v>19</v>
      </c>
      <c r="B27" s="99" t="s">
        <v>117</v>
      </c>
      <c r="C27" s="80" t="s">
        <v>86</v>
      </c>
      <c r="D27" s="70">
        <v>926031664.91103697</v>
      </c>
      <c r="E27" s="70">
        <v>345182850.68591118</v>
      </c>
      <c r="F27" s="70">
        <v>345182850.68591118</v>
      </c>
      <c r="G27" s="70">
        <v>129443569.00721671</v>
      </c>
      <c r="H27" s="70">
        <v>129443569.00721671</v>
      </c>
      <c r="I27" s="70">
        <v>862957126.71477795</v>
      </c>
      <c r="J27" s="70">
        <v>862957126.71477795</v>
      </c>
      <c r="K27" s="70">
        <v>746066949.27315092</v>
      </c>
      <c r="L27" s="70">
        <v>4347265707</v>
      </c>
      <c r="M27" s="70">
        <v>2037803011.7422409</v>
      </c>
      <c r="N27" s="70">
        <v>2823967073.7591658</v>
      </c>
      <c r="O27" s="70">
        <v>256291456.72471163</v>
      </c>
      <c r="P27" s="70">
        <v>344774693.81362152</v>
      </c>
      <c r="Q27" s="70">
        <v>374809849.55300295</v>
      </c>
      <c r="R27" s="70">
        <v>637692921.64331222</v>
      </c>
      <c r="S27" s="70">
        <v>637692921.64331222</v>
      </c>
      <c r="T27" s="70">
        <v>224722962.97779</v>
      </c>
      <c r="U27" s="70">
        <v>718647137.97650647</v>
      </c>
      <c r="V27" s="70">
        <v>774727402.09418273</v>
      </c>
      <c r="W27" s="70">
        <v>537741123.59146357</v>
      </c>
      <c r="X27" s="70">
        <v>537741123.59146357</v>
      </c>
      <c r="Y27" s="70">
        <v>9906611679.1107731</v>
      </c>
      <c r="Z27" s="70">
        <v>14253877386</v>
      </c>
      <c r="AA27" s="93">
        <f>+Y27/Y29</f>
        <v>0.55465573864651507</v>
      </c>
    </row>
    <row r="28" spans="1:27" s="71" customFormat="1" x14ac:dyDescent="0.2">
      <c r="A28" s="98" t="s">
        <v>19</v>
      </c>
      <c r="B28" s="99" t="s">
        <v>117</v>
      </c>
      <c r="C28" s="80" t="s">
        <v>88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1636193072.2339911</v>
      </c>
      <c r="N28" s="70">
        <v>2267420028.1759577</v>
      </c>
      <c r="O28" s="70">
        <v>205781571.40282655</v>
      </c>
      <c r="P28" s="70">
        <v>276826544.19925725</v>
      </c>
      <c r="Q28" s="70">
        <v>300942375.54363698</v>
      </c>
      <c r="R28" s="70">
        <v>512016487.65519524</v>
      </c>
      <c r="S28" s="70">
        <v>512016487.65519524</v>
      </c>
      <c r="T28" s="70">
        <v>180434592.09621796</v>
      </c>
      <c r="U28" s="70">
        <v>577016258.07915735</v>
      </c>
      <c r="V28" s="70">
        <v>622044231.39633524</v>
      </c>
      <c r="W28" s="70">
        <v>431763176.3255859</v>
      </c>
      <c r="X28" s="70">
        <v>431763176.3255859</v>
      </c>
      <c r="Y28" s="70">
        <v>7954218001.0889435</v>
      </c>
      <c r="Z28" s="70">
        <v>7954218001</v>
      </c>
      <c r="AA28" s="93">
        <f>+Y28/Y29</f>
        <v>0.44534426135348498</v>
      </c>
    </row>
    <row r="29" spans="1:27" s="89" customFormat="1" x14ac:dyDescent="0.2">
      <c r="A29" s="124" t="s">
        <v>130</v>
      </c>
      <c r="B29" s="124"/>
      <c r="C29" s="124"/>
      <c r="D29" s="88">
        <v>926031664.91103697</v>
      </c>
      <c r="E29" s="88">
        <v>345182850.68591118</v>
      </c>
      <c r="F29" s="88">
        <v>345182850.68591118</v>
      </c>
      <c r="G29" s="88">
        <v>129443569.00721671</v>
      </c>
      <c r="H29" s="88">
        <v>129443569.00721671</v>
      </c>
      <c r="I29" s="88">
        <v>862957126.71477795</v>
      </c>
      <c r="J29" s="88">
        <v>862957126.71477795</v>
      </c>
      <c r="K29" s="88">
        <v>746066949.27315092</v>
      </c>
      <c r="L29" s="88">
        <v>4347265707</v>
      </c>
      <c r="M29" s="88">
        <v>3673996083.9762321</v>
      </c>
      <c r="N29" s="88">
        <v>5091387101.9351234</v>
      </c>
      <c r="O29" s="88">
        <v>462073028.1275382</v>
      </c>
      <c r="P29" s="88">
        <v>621601238.01287878</v>
      </c>
      <c r="Q29" s="88">
        <v>675752225.09663987</v>
      </c>
      <c r="R29" s="88">
        <v>1149709409.2985075</v>
      </c>
      <c r="S29" s="88">
        <v>1149709409.2985075</v>
      </c>
      <c r="T29" s="88">
        <v>405157555.07400799</v>
      </c>
      <c r="U29" s="88">
        <v>1295663396.0556638</v>
      </c>
      <c r="V29" s="88">
        <v>1396771633.4905181</v>
      </c>
      <c r="W29" s="88">
        <v>969504299.91704941</v>
      </c>
      <c r="X29" s="88">
        <v>969504299.91704941</v>
      </c>
      <c r="Y29" s="88">
        <v>17860829680.199715</v>
      </c>
      <c r="Z29" s="88">
        <v>22208095387</v>
      </c>
      <c r="AA29" s="92">
        <f>SUM(AA27:AA28)</f>
        <v>1</v>
      </c>
    </row>
    <row r="30" spans="1:27" s="71" customFormat="1" x14ac:dyDescent="0.2">
      <c r="A30" s="98" t="s">
        <v>12</v>
      </c>
      <c r="B30" s="84" t="s">
        <v>2</v>
      </c>
      <c r="C30" s="80" t="s">
        <v>101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41657828.611823723</v>
      </c>
      <c r="V30" s="70">
        <v>44908634.059540316</v>
      </c>
      <c r="W30" s="70">
        <v>31171247.1675286</v>
      </c>
      <c r="X30" s="70">
        <v>31171247.1675286</v>
      </c>
      <c r="Y30" s="70">
        <v>148908957.00642124</v>
      </c>
      <c r="Z30" s="70">
        <v>148908957</v>
      </c>
      <c r="AA30" s="93" t="s">
        <v>109</v>
      </c>
    </row>
    <row r="31" spans="1:27" s="71" customFormat="1" x14ac:dyDescent="0.2">
      <c r="A31" s="98" t="s">
        <v>12</v>
      </c>
      <c r="B31" s="84" t="s">
        <v>2</v>
      </c>
      <c r="C31" s="80" t="s">
        <v>106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  <c r="U31" s="70">
        <v>28299037.628659964</v>
      </c>
      <c r="V31" s="70">
        <v>30507378.023585733</v>
      </c>
      <c r="W31" s="70">
        <v>21175282.676058192</v>
      </c>
      <c r="X31" s="70">
        <v>21175282.676058192</v>
      </c>
      <c r="Y31" s="70">
        <v>101156981.00436208</v>
      </c>
      <c r="Z31" s="70">
        <v>101156981.67</v>
      </c>
      <c r="AA31" s="93" t="s">
        <v>109</v>
      </c>
    </row>
    <row r="32" spans="1:27" s="75" customFormat="1" x14ac:dyDescent="0.2">
      <c r="A32" s="98" t="s">
        <v>12</v>
      </c>
      <c r="B32" s="84" t="s">
        <v>2</v>
      </c>
      <c r="C32" s="80" t="s">
        <v>86</v>
      </c>
      <c r="D32" s="74">
        <v>681101895.11721718</v>
      </c>
      <c r="E32" s="74">
        <v>324972615.50477993</v>
      </c>
      <c r="F32" s="74">
        <v>324972615.50477993</v>
      </c>
      <c r="G32" s="74">
        <v>121864730.81429249</v>
      </c>
      <c r="H32" s="74">
        <v>121864730.81429249</v>
      </c>
      <c r="I32" s="74">
        <v>812431538.7619499</v>
      </c>
      <c r="J32" s="74">
        <v>812431538.7619499</v>
      </c>
      <c r="K32" s="74">
        <v>943661781.72073853</v>
      </c>
      <c r="L32" s="74">
        <v>4143301447.0000005</v>
      </c>
      <c r="M32" s="74">
        <v>1411764687.7691352</v>
      </c>
      <c r="N32" s="74">
        <v>1956409413.0704963</v>
      </c>
      <c r="O32" s="74">
        <v>101218987.34575741</v>
      </c>
      <c r="P32" s="74">
        <v>305736155.22270101</v>
      </c>
      <c r="Q32" s="74">
        <v>259663621.64446661</v>
      </c>
      <c r="R32" s="74">
        <v>441785758.10753214</v>
      </c>
      <c r="S32" s="74">
        <v>441785758.10753214</v>
      </c>
      <c r="T32" s="74">
        <v>155685285.49364218</v>
      </c>
      <c r="U32" s="74">
        <v>370884823.69100815</v>
      </c>
      <c r="V32" s="74">
        <v>399827148.47142011</v>
      </c>
      <c r="W32" s="74">
        <v>277521486.24175632</v>
      </c>
      <c r="X32" s="74">
        <v>277521486.24175632</v>
      </c>
      <c r="Y32" s="74">
        <v>6399804611.4072046</v>
      </c>
      <c r="Z32" s="70">
        <v>10543106058</v>
      </c>
      <c r="AA32" s="93">
        <f>+Y32/(Y32+Y33)</f>
        <v>0.52244114705331002</v>
      </c>
    </row>
    <row r="33" spans="1:27" s="71" customFormat="1" x14ac:dyDescent="0.2">
      <c r="A33" s="98" t="s">
        <v>12</v>
      </c>
      <c r="B33" s="84" t="s">
        <v>2</v>
      </c>
      <c r="C33" s="80" t="s">
        <v>88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1290481671.9056675</v>
      </c>
      <c r="N33" s="70">
        <v>1788336620.2484753</v>
      </c>
      <c r="O33" s="70">
        <v>92523385.200233892</v>
      </c>
      <c r="P33" s="70">
        <v>279470727.78627378</v>
      </c>
      <c r="Q33" s="70">
        <v>237356230.46524951</v>
      </c>
      <c r="R33" s="70">
        <v>403832472.00184369</v>
      </c>
      <c r="S33" s="70">
        <v>403832472.00184369</v>
      </c>
      <c r="T33" s="70">
        <v>142310548.815626</v>
      </c>
      <c r="U33" s="70">
        <v>339022552.06391674</v>
      </c>
      <c r="V33" s="70">
        <v>365478476.33730429</v>
      </c>
      <c r="W33" s="70">
        <v>253679947.27289364</v>
      </c>
      <c r="X33" s="70">
        <v>253679947.27289364</v>
      </c>
      <c r="Y33" s="70">
        <v>5850005051.3722229</v>
      </c>
      <c r="Z33" s="70">
        <v>5850005051</v>
      </c>
      <c r="AA33" s="93">
        <f>+Y33/(Y32+Y33)</f>
        <v>0.47755885294669004</v>
      </c>
    </row>
    <row r="34" spans="1:27" s="89" customFormat="1" x14ac:dyDescent="0.2">
      <c r="A34" s="124" t="s">
        <v>131</v>
      </c>
      <c r="B34" s="124"/>
      <c r="C34" s="124"/>
      <c r="D34" s="88">
        <v>681101895.11721718</v>
      </c>
      <c r="E34" s="88">
        <v>324972615.50477993</v>
      </c>
      <c r="F34" s="88">
        <v>324972615.50477993</v>
      </c>
      <c r="G34" s="88">
        <v>121864730.81429249</v>
      </c>
      <c r="H34" s="88">
        <v>121864730.81429249</v>
      </c>
      <c r="I34" s="88">
        <v>812431538.7619499</v>
      </c>
      <c r="J34" s="88">
        <v>812431538.7619499</v>
      </c>
      <c r="K34" s="88">
        <v>943661781.72073853</v>
      </c>
      <c r="L34" s="88">
        <v>4143301447.0000005</v>
      </c>
      <c r="M34" s="88">
        <v>2702246359.6748028</v>
      </c>
      <c r="N34" s="88">
        <v>3744746033.3189716</v>
      </c>
      <c r="O34" s="88">
        <v>193742372.5459913</v>
      </c>
      <c r="P34" s="88">
        <v>585206883.00897479</v>
      </c>
      <c r="Q34" s="88">
        <v>497019852.10971612</v>
      </c>
      <c r="R34" s="88">
        <v>845618230.10937583</v>
      </c>
      <c r="S34" s="88">
        <v>845618230.10937583</v>
      </c>
      <c r="T34" s="88">
        <v>297995834.30926818</v>
      </c>
      <c r="U34" s="88">
        <v>779864241.99540854</v>
      </c>
      <c r="V34" s="88">
        <v>840721636.89185047</v>
      </c>
      <c r="W34" s="88">
        <v>583547963.35823679</v>
      </c>
      <c r="X34" s="88">
        <v>583547963.35823679</v>
      </c>
      <c r="Y34" s="88">
        <v>12499875600.790211</v>
      </c>
      <c r="Z34" s="88">
        <v>16643177047.67</v>
      </c>
      <c r="AA34" s="92">
        <f>SUM(AA32:AA33)</f>
        <v>1</v>
      </c>
    </row>
    <row r="35" spans="1:27" s="71" customFormat="1" x14ac:dyDescent="0.2">
      <c r="A35" s="98" t="s">
        <v>18</v>
      </c>
      <c r="B35" s="101" t="s">
        <v>103</v>
      </c>
      <c r="C35" s="80" t="s">
        <v>86</v>
      </c>
      <c r="D35" s="70">
        <v>538495349.15086961</v>
      </c>
      <c r="E35" s="70">
        <v>196789994.15275353</v>
      </c>
      <c r="F35" s="70">
        <v>196789994.15275353</v>
      </c>
      <c r="G35" s="70">
        <v>73796247.807282567</v>
      </c>
      <c r="H35" s="70">
        <v>73796247.807282567</v>
      </c>
      <c r="I35" s="70">
        <v>491974985.3818838</v>
      </c>
      <c r="J35" s="70">
        <v>491974985.3818838</v>
      </c>
      <c r="K35" s="70">
        <v>448621173.16529042</v>
      </c>
      <c r="L35" s="70">
        <v>2512238977</v>
      </c>
      <c r="M35" s="70">
        <v>1190734648.3616436</v>
      </c>
      <c r="N35" s="70">
        <v>1650108190.6256454</v>
      </c>
      <c r="O35" s="70">
        <v>133841739.56412838</v>
      </c>
      <c r="P35" s="70">
        <v>197508529.25829092</v>
      </c>
      <c r="Q35" s="70">
        <v>219009919.91782734</v>
      </c>
      <c r="R35" s="70">
        <v>372618478.05714417</v>
      </c>
      <c r="S35" s="70">
        <v>372618478.05714417</v>
      </c>
      <c r="T35" s="70">
        <v>131310738.45620166</v>
      </c>
      <c r="U35" s="70">
        <v>435196175.10885841</v>
      </c>
      <c r="V35" s="70">
        <v>469157092.99663711</v>
      </c>
      <c r="W35" s="70">
        <v>325643654.33178055</v>
      </c>
      <c r="X35" s="70">
        <v>325643654.33178055</v>
      </c>
      <c r="Y35" s="70">
        <v>5823391299.0670815</v>
      </c>
      <c r="Z35" s="70">
        <v>8335630276</v>
      </c>
      <c r="AA35" s="93">
        <f>+Y35/Y37</f>
        <v>0.55733996053296742</v>
      </c>
    </row>
    <row r="36" spans="1:27" s="71" customFormat="1" x14ac:dyDescent="0.2">
      <c r="A36" s="98" t="s">
        <v>18</v>
      </c>
      <c r="B36" s="101" t="s">
        <v>103</v>
      </c>
      <c r="C36" s="80" t="s">
        <v>88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945725560.27471519</v>
      </c>
      <c r="N36" s="70">
        <v>1310577041.8627923</v>
      </c>
      <c r="O36" s="70">
        <v>106302066.80521852</v>
      </c>
      <c r="P36" s="70">
        <v>156868589.27708101</v>
      </c>
      <c r="Q36" s="70">
        <v>173945790.10948658</v>
      </c>
      <c r="R36" s="70">
        <v>295947396.35247165</v>
      </c>
      <c r="S36" s="70">
        <v>295947396.35247165</v>
      </c>
      <c r="T36" s="70">
        <v>104291851.98183754</v>
      </c>
      <c r="U36" s="70">
        <v>345648921.10978234</v>
      </c>
      <c r="V36" s="70">
        <v>372621939.94404113</v>
      </c>
      <c r="W36" s="70">
        <v>258638251.49169084</v>
      </c>
      <c r="X36" s="70">
        <v>258638251.49169084</v>
      </c>
      <c r="Y36" s="70">
        <v>4625153057.0532799</v>
      </c>
      <c r="Z36" s="70">
        <v>4625153057</v>
      </c>
      <c r="AA36" s="93">
        <f>+Y36/Y37</f>
        <v>0.44266003946703258</v>
      </c>
    </row>
    <row r="37" spans="1:27" s="89" customFormat="1" x14ac:dyDescent="0.2">
      <c r="A37" s="124" t="s">
        <v>132</v>
      </c>
      <c r="B37" s="124"/>
      <c r="C37" s="124"/>
      <c r="D37" s="88">
        <v>538495349.15086961</v>
      </c>
      <c r="E37" s="88">
        <v>196789994.15275353</v>
      </c>
      <c r="F37" s="88">
        <v>196789994.15275353</v>
      </c>
      <c r="G37" s="88">
        <v>73796247.807282567</v>
      </c>
      <c r="H37" s="88">
        <v>73796247.807282567</v>
      </c>
      <c r="I37" s="88">
        <v>491974985.3818838</v>
      </c>
      <c r="J37" s="88">
        <v>491974985.3818838</v>
      </c>
      <c r="K37" s="88">
        <v>448621173.16529042</v>
      </c>
      <c r="L37" s="88">
        <v>2512238977</v>
      </c>
      <c r="M37" s="88">
        <v>2136460208.6363587</v>
      </c>
      <c r="N37" s="88">
        <v>2960685232.4884377</v>
      </c>
      <c r="O37" s="88">
        <v>240143806.36934692</v>
      </c>
      <c r="P37" s="88">
        <v>354377118.5353719</v>
      </c>
      <c r="Q37" s="88">
        <v>392955710.02731395</v>
      </c>
      <c r="R37" s="88">
        <v>668565874.40961576</v>
      </c>
      <c r="S37" s="88">
        <v>668565874.40961576</v>
      </c>
      <c r="T37" s="88">
        <v>235602590.43803918</v>
      </c>
      <c r="U37" s="88">
        <v>780845096.2186408</v>
      </c>
      <c r="V37" s="88">
        <v>841779032.94067824</v>
      </c>
      <c r="W37" s="88">
        <v>584281905.82347143</v>
      </c>
      <c r="X37" s="88">
        <v>584281905.82347143</v>
      </c>
      <c r="Y37" s="88">
        <v>10448544356.120361</v>
      </c>
      <c r="Z37" s="88">
        <v>12960783333</v>
      </c>
      <c r="AA37" s="92">
        <f>SUM(AA35:AA36)</f>
        <v>1</v>
      </c>
    </row>
    <row r="38" spans="1:27" ht="15" x14ac:dyDescent="0.2">
      <c r="A38" s="119" t="s">
        <v>44</v>
      </c>
      <c r="B38" s="120"/>
      <c r="C38" s="121"/>
      <c r="D38" s="76">
        <v>4657102954.1999969</v>
      </c>
      <c r="E38" s="76">
        <v>1999999999.9999998</v>
      </c>
      <c r="F38" s="76">
        <v>1999999999.9999998</v>
      </c>
      <c r="G38" s="76">
        <v>749999999.99999988</v>
      </c>
      <c r="H38" s="76">
        <v>749999999.99999988</v>
      </c>
      <c r="I38" s="76">
        <v>4999999999.999999</v>
      </c>
      <c r="J38" s="76">
        <v>4999999999.999999</v>
      </c>
      <c r="K38" s="76">
        <v>5240279539.800005</v>
      </c>
      <c r="L38" s="76">
        <v>25397382494</v>
      </c>
      <c r="M38" s="76">
        <v>18476882232.799992</v>
      </c>
      <c r="N38" s="76">
        <v>25605078974.999981</v>
      </c>
      <c r="O38" s="76">
        <v>1759720460.1999943</v>
      </c>
      <c r="P38" s="76">
        <v>3601576595</v>
      </c>
      <c r="Q38" s="76">
        <v>3398423404.9999971</v>
      </c>
      <c r="R38" s="76">
        <v>5781999999.9999962</v>
      </c>
      <c r="S38" s="76">
        <v>5781999999.9999962</v>
      </c>
      <c r="T38" s="76">
        <v>2037576594.999999</v>
      </c>
      <c r="U38" s="76">
        <v>5705560511.4219856</v>
      </c>
      <c r="V38" s="76">
        <v>6150798965.0542736</v>
      </c>
      <c r="W38" s="76">
        <v>4269292060.0366254</v>
      </c>
      <c r="X38" s="76">
        <v>4269292060.0366254</v>
      </c>
      <c r="Y38" s="76">
        <v>86838201859.549454</v>
      </c>
      <c r="Z38" s="76">
        <v>112235584352.67</v>
      </c>
      <c r="AA38" s="91"/>
    </row>
    <row r="39" spans="1:27" x14ac:dyDescent="0.2">
      <c r="Z39" s="90">
        <f>+Z38-RESUMIDO!E29</f>
        <v>0</v>
      </c>
    </row>
  </sheetData>
  <mergeCells count="15">
    <mergeCell ref="A11:C11"/>
    <mergeCell ref="A14:C14"/>
    <mergeCell ref="A17:C17"/>
    <mergeCell ref="A1:AA1"/>
    <mergeCell ref="A2:AA2"/>
    <mergeCell ref="D4:L4"/>
    <mergeCell ref="M4:Y4"/>
    <mergeCell ref="A8:C8"/>
    <mergeCell ref="A29:C29"/>
    <mergeCell ref="A34:C34"/>
    <mergeCell ref="A37:C37"/>
    <mergeCell ref="A38:C38"/>
    <mergeCell ref="A20:C20"/>
    <mergeCell ref="A23:C23"/>
    <mergeCell ref="A26:C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HT BANCOS</vt:lpstr>
      <vt:lpstr>RESUMIDO</vt:lpstr>
      <vt:lpstr>DETALLADO FORMULADO</vt:lpstr>
      <vt:lpstr>DETALLADO</vt:lpstr>
      <vt:lpstr>RESUMIDO!Área_de_impresión</vt:lpstr>
      <vt:lpstr>RESUMIDO!Títulos_a_imprimir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smorales - Sandra Milena Morales Gil</dc:creator>
  <cp:lastModifiedBy>smorales - Sandra Milena Morales Gil</cp:lastModifiedBy>
  <cp:lastPrinted>2020-10-02T22:55:52Z</cp:lastPrinted>
  <dcterms:created xsi:type="dcterms:W3CDTF">2018-01-23T19:18:52Z</dcterms:created>
  <dcterms:modified xsi:type="dcterms:W3CDTF">2020-12-19T02:08:21Z</dcterms:modified>
</cp:coreProperties>
</file>