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navarro/Documents/AIA/1116/acuerdo/texto acuerdo/"/>
    </mc:Choice>
  </mc:AlternateContent>
  <xr:revisionPtr revIDLastSave="0" documentId="13_ncr:1_{B2C4682D-FAEB-6542-9703-E97410C908A5}" xr6:coauthVersionLast="45" xr6:coauthVersionMax="45" xr10:uidLastSave="{00000000-0000-0000-0000-000000000000}"/>
  <bookViews>
    <workbookView xWindow="0" yWindow="0" windowWidth="32000" windowHeight="18000" tabRatio="659" firstSheet="3" activeTab="8" xr2:uid="{00000000-000D-0000-FFFF-FFFF00000000}"/>
  </bookViews>
  <sheets>
    <sheet name="Proyecciones" sheetId="47" r:id="rId1"/>
    <sheet name="Ventas externas" sheetId="46" r:id="rId2"/>
    <sheet name="Reg Proy Inmob" sheetId="52" r:id="rId3"/>
    <sheet name="Proyectos Inmob detall" sheetId="48" r:id="rId4"/>
    <sheet name="Cajas Atrapadas" sheetId="49" r:id="rId5"/>
    <sheet name="Venta Activos" sheetId="51" r:id="rId6"/>
    <sheet name="PyG" sheetId="45" r:id="rId7"/>
    <sheet name="Bce General" sheetId="81" r:id="rId8"/>
    <sheet name="Flujo Caja" sheetId="50" r:id="rId9"/>
    <sheet name="Resumen" sheetId="79" r:id="rId10"/>
    <sheet name="Resumen formula Pago" sheetId="80" r:id="rId11"/>
    <sheet name="Gráfico1" sheetId="67" r:id="rId12"/>
    <sheet name="Gráfico2" sheetId="68" r:id="rId13"/>
    <sheet name="Gráfico3" sheetId="70" r:id="rId14"/>
    <sheet name="Gráfico4" sheetId="69" r:id="rId15"/>
    <sheet name="Gráfico5" sheetId="71" r:id="rId16"/>
    <sheet name="Gráfico6" sheetId="72" r:id="rId17"/>
    <sheet name="Gráfico7" sheetId="66" r:id="rId18"/>
    <sheet name="Gráfico8" sheetId="77" r:id="rId19"/>
    <sheet name="Gráfico9" sheetId="73" r:id="rId20"/>
    <sheet name="Gráfico10" sheetId="74" r:id="rId21"/>
    <sheet name="Gráfico11" sheetId="75" r:id="rId22"/>
    <sheet name="Gráfico12" sheetId="76" r:id="rId23"/>
    <sheet name="Gráfico13" sheetId="57" r:id="rId24"/>
    <sheet name="Gráfico14" sheetId="78" r:id="rId25"/>
    <sheet name="Gráfico15" sheetId="53" r:id="rId26"/>
    <sheet name="Gráfico16" sheetId="59" r:id="rId27"/>
    <sheet name="Gráfico17" sheetId="55" r:id="rId28"/>
    <sheet name="Gráfico18" sheetId="58" r:id="rId29"/>
    <sheet name="Gráfico19" sheetId="63" r:id="rId30"/>
    <sheet name="Gráfico20" sheetId="64" r:id="rId31"/>
    <sheet name="Sensibilidad" sheetId="1" r:id="rId32"/>
    <sheet name="Para hacer operaciones" sheetId="56" r:id="rId33"/>
  </sheets>
  <definedNames>
    <definedName name="_xlchart.v1.0" hidden="1">PyG!$B$210</definedName>
    <definedName name="_xlchart.v1.1" hidden="1">PyG!$L$209:$R$209</definedName>
    <definedName name="_xlchart.v1.2" hidden="1">PyG!$L$210:$R$210</definedName>
    <definedName name="ab_2clase">Proyecciones!$G$58</definedName>
    <definedName name="ab_5clase">Proyecciones!$G$60</definedName>
    <definedName name="año_arq">Proyecciones!$C$77</definedName>
    <definedName name="_xlnm.Print_Area" localSheetId="8">'Flujo Caja'!$B$1:$S$64</definedName>
    <definedName name="Arq">Proyecciones!$C$70</definedName>
    <definedName name="dism_bolsa">Proyecciones!$E$44</definedName>
    <definedName name="DTF">'Flujo Caja'!$D$75</definedName>
    <definedName name="INFLACION">'Flujo Caja'!$C$75</definedName>
    <definedName name="int_equiv">'Flujo Caja'!$F$106</definedName>
    <definedName name="renta">PyG!$H$158</definedName>
    <definedName name="tasa_acuerdo">Proyecciones!$C$10</definedName>
    <definedName name="wc">Proyecciones!$B$17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58" i="50" l="1"/>
  <c r="R58" i="50"/>
  <c r="Q58" i="50"/>
  <c r="P58" i="50"/>
  <c r="O58" i="50"/>
  <c r="N58" i="50"/>
  <c r="M58" i="50"/>
  <c r="L58" i="50"/>
  <c r="K58" i="50"/>
  <c r="J58" i="50"/>
  <c r="I58" i="50"/>
  <c r="S57" i="50"/>
  <c r="R57" i="50"/>
  <c r="Q57" i="50"/>
  <c r="P57" i="50"/>
  <c r="O57" i="50"/>
  <c r="N57" i="50"/>
  <c r="M57" i="50"/>
  <c r="L57" i="50"/>
  <c r="K57" i="50"/>
  <c r="J57" i="50"/>
  <c r="I57" i="50"/>
  <c r="H58" i="50"/>
  <c r="H57" i="50"/>
  <c r="S8" i="50"/>
  <c r="D59" i="81" l="1"/>
  <c r="E88" i="81"/>
  <c r="E8" i="81"/>
  <c r="F8" i="81"/>
  <c r="G8" i="81" s="1"/>
  <c r="H8" i="81" s="1"/>
  <c r="I8" i="81" s="1"/>
  <c r="J8" i="81" s="1"/>
  <c r="K8" i="81" s="1"/>
  <c r="L8" i="81" s="1"/>
  <c r="M8" i="81" s="1"/>
  <c r="N8" i="81" s="1"/>
  <c r="O8" i="81" s="1"/>
  <c r="P8" i="81" s="1"/>
  <c r="Q8" i="81" s="1"/>
  <c r="Q6" i="81" s="1"/>
  <c r="D20" i="81"/>
  <c r="E34" i="81"/>
  <c r="F34" i="81"/>
  <c r="G34" i="81" s="1"/>
  <c r="H34" i="81" s="1"/>
  <c r="I34" i="81" s="1"/>
  <c r="J34" i="81" s="1"/>
  <c r="K34" i="81" s="1"/>
  <c r="L34" i="81" s="1"/>
  <c r="M34" i="81" s="1"/>
  <c r="N34" i="81" s="1"/>
  <c r="O34" i="81" s="1"/>
  <c r="P34" i="81" s="1"/>
  <c r="E38" i="81"/>
  <c r="F38" i="81" s="1"/>
  <c r="G38" i="81" s="1"/>
  <c r="H38" i="81" s="1"/>
  <c r="E41" i="81"/>
  <c r="F41" i="81"/>
  <c r="G41" i="81" s="1"/>
  <c r="H41" i="81" s="1"/>
  <c r="I41" i="81" s="1"/>
  <c r="J41" i="81"/>
  <c r="K41" i="81" s="1"/>
  <c r="L41" i="81" s="1"/>
  <c r="M41" i="81" s="1"/>
  <c r="N41" i="81" s="1"/>
  <c r="O41" i="81" s="1"/>
  <c r="P41" i="81" s="1"/>
  <c r="Q41" i="81" s="1"/>
  <c r="O78" i="81"/>
  <c r="O33" i="81"/>
  <c r="N78" i="81"/>
  <c r="N6" i="81"/>
  <c r="N33" i="81"/>
  <c r="M78" i="81"/>
  <c r="M33" i="81"/>
  <c r="L78" i="81"/>
  <c r="L33" i="81"/>
  <c r="K78" i="81"/>
  <c r="K33" i="81"/>
  <c r="J78" i="81"/>
  <c r="J6" i="81"/>
  <c r="E35" i="81"/>
  <c r="F35" i="81" s="1"/>
  <c r="G35" i="81" s="1"/>
  <c r="I78" i="81"/>
  <c r="I6" i="81"/>
  <c r="E69" i="81"/>
  <c r="F69" i="81" s="1"/>
  <c r="G69" i="81" s="1"/>
  <c r="H69" i="81" s="1"/>
  <c r="E73" i="81"/>
  <c r="F73" i="81" s="1"/>
  <c r="G73" i="81" s="1"/>
  <c r="H78" i="81"/>
  <c r="H6" i="81"/>
  <c r="E23" i="81"/>
  <c r="F23" i="81" s="1"/>
  <c r="E42" i="81"/>
  <c r="F42" i="81" s="1"/>
  <c r="G42" i="81" s="1"/>
  <c r="H42" i="81" s="1"/>
  <c r="G78" i="81"/>
  <c r="G6" i="81"/>
  <c r="G36" i="81"/>
  <c r="F78" i="81"/>
  <c r="F6" i="81"/>
  <c r="F33" i="81"/>
  <c r="F32" i="81" s="1"/>
  <c r="F36" i="81"/>
  <c r="E78" i="81"/>
  <c r="E79" i="81"/>
  <c r="E7" i="81"/>
  <c r="E6" i="81" s="1"/>
  <c r="E12" i="81"/>
  <c r="E33" i="81"/>
  <c r="E32" i="81" s="1"/>
  <c r="E36" i="81"/>
  <c r="E39" i="81"/>
  <c r="D57" i="81"/>
  <c r="D83" i="81"/>
  <c r="D6" i="81"/>
  <c r="D11" i="81"/>
  <c r="D19" i="81"/>
  <c r="D22" i="81"/>
  <c r="D33" i="81"/>
  <c r="D32" i="81" s="1"/>
  <c r="D36" i="81"/>
  <c r="C59" i="81"/>
  <c r="C57" i="81" s="1"/>
  <c r="C83" i="81"/>
  <c r="C6" i="81"/>
  <c r="C20" i="81"/>
  <c r="C19" i="81"/>
  <c r="C22" i="81"/>
  <c r="E5" i="81"/>
  <c r="F5" i="81" s="1"/>
  <c r="B595" i="48"/>
  <c r="B719" i="48"/>
  <c r="B749" i="48" s="1"/>
  <c r="B779" i="48" s="1"/>
  <c r="B809" i="48" s="1"/>
  <c r="B839" i="48" s="1"/>
  <c r="B869" i="48" s="1"/>
  <c r="B899" i="48" s="1"/>
  <c r="B929" i="48" s="1"/>
  <c r="B959" i="48" s="1"/>
  <c r="B989" i="48" s="1"/>
  <c r="B1019" i="48" s="1"/>
  <c r="B1049" i="48" s="1"/>
  <c r="B1079" i="48" s="1"/>
  <c r="B1109" i="48" s="1"/>
  <c r="B1139" i="48" s="1"/>
  <c r="B1169" i="48" s="1"/>
  <c r="B1199" i="48" s="1"/>
  <c r="B1229" i="48" s="1"/>
  <c r="B1259" i="48" s="1"/>
  <c r="B689" i="48"/>
  <c r="B659" i="48"/>
  <c r="C13" i="81"/>
  <c r="C11" i="81" s="1"/>
  <c r="H53" i="50"/>
  <c r="H92" i="50" s="1"/>
  <c r="I53" i="50"/>
  <c r="H52" i="50"/>
  <c r="I52" i="50"/>
  <c r="I82" i="50"/>
  <c r="F47" i="79" s="1"/>
  <c r="J53" i="50"/>
  <c r="J82" i="50" s="1"/>
  <c r="K53" i="50"/>
  <c r="K82" i="50" s="1"/>
  <c r="H47" i="79" s="1"/>
  <c r="L53" i="50"/>
  <c r="L82" i="50" s="1"/>
  <c r="I47" i="79" s="1"/>
  <c r="M53" i="50"/>
  <c r="M82" i="50" s="1"/>
  <c r="J47" i="79" s="1"/>
  <c r="N53" i="50"/>
  <c r="N82" i="50" s="1"/>
  <c r="O52" i="50"/>
  <c r="O53" i="50"/>
  <c r="P52" i="50"/>
  <c r="P53" i="50"/>
  <c r="Q52" i="50"/>
  <c r="Q53" i="50"/>
  <c r="R52" i="50"/>
  <c r="R53" i="50"/>
  <c r="S52" i="50"/>
  <c r="S53" i="50"/>
  <c r="T52" i="50"/>
  <c r="T92" i="50" s="1"/>
  <c r="T53" i="50"/>
  <c r="C76" i="81"/>
  <c r="C75" i="81"/>
  <c r="C71" i="81" s="1"/>
  <c r="C67" i="81" s="1"/>
  <c r="D76" i="81"/>
  <c r="E76" i="81" s="1"/>
  <c r="F76" i="81" s="1"/>
  <c r="G76" i="81" s="1"/>
  <c r="H76" i="81" s="1"/>
  <c r="I76" i="81" s="1"/>
  <c r="J76" i="81" s="1"/>
  <c r="K76" i="81" s="1"/>
  <c r="L76" i="81" s="1"/>
  <c r="M76" i="81" s="1"/>
  <c r="N76" i="81" s="1"/>
  <c r="O76" i="81" s="1"/>
  <c r="P76" i="81" s="1"/>
  <c r="Q76" i="81" s="1"/>
  <c r="D75" i="81"/>
  <c r="D56" i="81"/>
  <c r="D55" i="81"/>
  <c r="C56" i="81"/>
  <c r="C55" i="81"/>
  <c r="C37" i="81"/>
  <c r="C36" i="81" s="1"/>
  <c r="C35" i="81"/>
  <c r="C33" i="81" s="1"/>
  <c r="C32" i="81" s="1"/>
  <c r="C10" i="81"/>
  <c r="C9" i="81" s="1"/>
  <c r="C3" i="81" s="1"/>
  <c r="C2" i="81" s="1"/>
  <c r="C14" i="81"/>
  <c r="C15" i="81"/>
  <c r="C16" i="81"/>
  <c r="D10" i="81"/>
  <c r="D14" i="81"/>
  <c r="D15" i="81"/>
  <c r="D16" i="81"/>
  <c r="R83" i="81"/>
  <c r="C17" i="47"/>
  <c r="C11" i="50" s="1"/>
  <c r="V42" i="80"/>
  <c r="U42" i="80"/>
  <c r="T42" i="80"/>
  <c r="S42" i="80"/>
  <c r="R42" i="80"/>
  <c r="Q42" i="80"/>
  <c r="Q68" i="80" s="1"/>
  <c r="N42" i="80"/>
  <c r="M42" i="80"/>
  <c r="L42" i="80"/>
  <c r="K42" i="80"/>
  <c r="J42" i="80"/>
  <c r="I42" i="80"/>
  <c r="H42" i="80"/>
  <c r="H23" i="80"/>
  <c r="H24" i="80" s="1"/>
  <c r="H21" i="80"/>
  <c r="H22" i="80"/>
  <c r="N26" i="47"/>
  <c r="O26" i="47" s="1"/>
  <c r="P26" i="47" s="1"/>
  <c r="N23" i="47"/>
  <c r="O23" i="47" s="1"/>
  <c r="C121" i="50"/>
  <c r="U52" i="50"/>
  <c r="V52" i="50"/>
  <c r="V82" i="50" s="1"/>
  <c r="S47" i="79" s="1"/>
  <c r="U53" i="50"/>
  <c r="U83" i="50"/>
  <c r="T83" i="50"/>
  <c r="J92" i="50"/>
  <c r="I92" i="50"/>
  <c r="AA92" i="50"/>
  <c r="Y92" i="50"/>
  <c r="X92" i="50"/>
  <c r="W92" i="50"/>
  <c r="AA82" i="50"/>
  <c r="Y82" i="50"/>
  <c r="Y81" i="50" s="1"/>
  <c r="Y56" i="50" s="1"/>
  <c r="Y59" i="50" s="1"/>
  <c r="Y130" i="50" s="1"/>
  <c r="X82" i="50"/>
  <c r="X81" i="50" s="1"/>
  <c r="W82" i="50"/>
  <c r="T47" i="79" s="1"/>
  <c r="K47" i="51"/>
  <c r="N40" i="51"/>
  <c r="M40" i="51"/>
  <c r="L40" i="51"/>
  <c r="K34" i="51"/>
  <c r="K33" i="51"/>
  <c r="C112" i="50"/>
  <c r="O86" i="50"/>
  <c r="Q88" i="50"/>
  <c r="O87" i="50"/>
  <c r="O46" i="80" s="1"/>
  <c r="O72" i="80" s="1"/>
  <c r="N87" i="50"/>
  <c r="N83" i="50" s="1"/>
  <c r="K48" i="79" s="1"/>
  <c r="M87" i="50"/>
  <c r="M83" i="50" s="1"/>
  <c r="J48" i="79" s="1"/>
  <c r="L87" i="50"/>
  <c r="K87" i="50"/>
  <c r="K83" i="50" s="1"/>
  <c r="H48" i="79" s="1"/>
  <c r="C108" i="50"/>
  <c r="E108" i="50" s="1"/>
  <c r="F108" i="50" s="1"/>
  <c r="G108" i="50" s="1"/>
  <c r="C96" i="47"/>
  <c r="J76" i="50"/>
  <c r="M76" i="50"/>
  <c r="O76" i="50"/>
  <c r="O89" i="50"/>
  <c r="Q89" i="50"/>
  <c r="Q91" i="50"/>
  <c r="Q83" i="50" s="1"/>
  <c r="N48" i="79" s="1"/>
  <c r="I83" i="50"/>
  <c r="J83" i="50"/>
  <c r="L83" i="50"/>
  <c r="V83" i="50"/>
  <c r="W83" i="50"/>
  <c r="W81" i="50"/>
  <c r="X83" i="50"/>
  <c r="Y83" i="50"/>
  <c r="AA83" i="50"/>
  <c r="AA81" i="50" s="1"/>
  <c r="AA56" i="50" s="1"/>
  <c r="AA59" i="50" s="1"/>
  <c r="AA130" i="50" s="1"/>
  <c r="L45" i="45"/>
  <c r="L48" i="45"/>
  <c r="I56" i="45"/>
  <c r="L55" i="45" s="1"/>
  <c r="L54" i="45" s="1"/>
  <c r="L4" i="46"/>
  <c r="G4" i="48" s="1"/>
  <c r="G49" i="47"/>
  <c r="C545" i="48" s="1"/>
  <c r="D634" i="48" s="1"/>
  <c r="E44" i="47"/>
  <c r="C75" i="50"/>
  <c r="U680" i="48" s="1"/>
  <c r="L7" i="46"/>
  <c r="L6" i="46" s="1"/>
  <c r="L6" i="45" s="1"/>
  <c r="M8" i="45"/>
  <c r="M46" i="45" s="1"/>
  <c r="M4" i="46"/>
  <c r="H4" i="48" s="1"/>
  <c r="R5" i="49" s="1"/>
  <c r="E40" i="47"/>
  <c r="H40" i="47" s="1"/>
  <c r="M11" i="45"/>
  <c r="M14" i="45"/>
  <c r="M52" i="45" s="1"/>
  <c r="H49" i="47"/>
  <c r="C546" i="48" s="1"/>
  <c r="D664" i="48" s="1"/>
  <c r="M181" i="45"/>
  <c r="M119" i="45" s="1"/>
  <c r="M182" i="45"/>
  <c r="M120" i="45"/>
  <c r="M183" i="45"/>
  <c r="M121" i="45" s="1"/>
  <c r="N121" i="45" s="1"/>
  <c r="O121" i="45" s="1"/>
  <c r="M184" i="45"/>
  <c r="M122" i="45"/>
  <c r="M185" i="45"/>
  <c r="M123" i="45" s="1"/>
  <c r="N123" i="45" s="1"/>
  <c r="O123" i="45" s="1"/>
  <c r="M186" i="45"/>
  <c r="M124" i="45"/>
  <c r="M187" i="45"/>
  <c r="H127" i="45"/>
  <c r="N8" i="45"/>
  <c r="N46" i="45" s="1"/>
  <c r="N4" i="46"/>
  <c r="I4" i="48" s="1"/>
  <c r="S5" i="49" s="1"/>
  <c r="N11" i="45"/>
  <c r="N14" i="45"/>
  <c r="N52" i="45"/>
  <c r="I49" i="47"/>
  <c r="C547" i="48" s="1"/>
  <c r="N181" i="45"/>
  <c r="N182" i="45"/>
  <c r="N120" i="45" s="1"/>
  <c r="O120" i="45" s="1"/>
  <c r="P120" i="45" s="1"/>
  <c r="N183" i="45"/>
  <c r="N184" i="45"/>
  <c r="N122" i="45" s="1"/>
  <c r="O122" i="45" s="1"/>
  <c r="P122" i="45" s="1"/>
  <c r="N185" i="45"/>
  <c r="N186" i="45"/>
  <c r="N124" i="45" s="1"/>
  <c r="O124" i="45" s="1"/>
  <c r="P124" i="45" s="1"/>
  <c r="N187" i="45"/>
  <c r="O8" i="45"/>
  <c r="O46" i="45" s="1"/>
  <c r="O4" i="46"/>
  <c r="J4" i="48" s="1"/>
  <c r="T5" i="49" s="1"/>
  <c r="O11" i="45"/>
  <c r="O14" i="45"/>
  <c r="O52" i="45" s="1"/>
  <c r="J49" i="47"/>
  <c r="C548" i="48" s="1"/>
  <c r="O181" i="45"/>
  <c r="O182" i="45"/>
  <c r="O183" i="45"/>
  <c r="O184" i="45"/>
  <c r="O185" i="45"/>
  <c r="O186" i="45"/>
  <c r="O187" i="45"/>
  <c r="P8" i="45"/>
  <c r="P46" i="45" s="1"/>
  <c r="P4" i="46"/>
  <c r="K4" i="48" s="1"/>
  <c r="U5" i="49" s="1"/>
  <c r="P11" i="45"/>
  <c r="P14" i="45"/>
  <c r="P52" i="45"/>
  <c r="K49" i="47"/>
  <c r="C549" i="48" s="1"/>
  <c r="P181" i="45"/>
  <c r="P182" i="45"/>
  <c r="P183" i="45"/>
  <c r="P184" i="45"/>
  <c r="P185" i="45"/>
  <c r="P123" i="45" s="1"/>
  <c r="Q123" i="45" s="1"/>
  <c r="R123" i="45" s="1"/>
  <c r="S123" i="45" s="1"/>
  <c r="P186" i="45"/>
  <c r="P187" i="45"/>
  <c r="Q8" i="45"/>
  <c r="Q4" i="46"/>
  <c r="L4" i="48" s="1"/>
  <c r="V5" i="49" s="1"/>
  <c r="Q11" i="45"/>
  <c r="Q14" i="45"/>
  <c r="Q52" i="45"/>
  <c r="Q17" i="45"/>
  <c r="Q55" i="45" s="1"/>
  <c r="L49" i="47"/>
  <c r="C550" i="48" s="1"/>
  <c r="Q181" i="45"/>
  <c r="Q182" i="45"/>
  <c r="Q183" i="45"/>
  <c r="Q184" i="45"/>
  <c r="Q122" i="45" s="1"/>
  <c r="R122" i="45" s="1"/>
  <c r="Q185" i="45"/>
  <c r="Q186" i="45"/>
  <c r="Q187" i="45"/>
  <c r="R181" i="45"/>
  <c r="R184" i="45"/>
  <c r="R187" i="45"/>
  <c r="R4" i="46"/>
  <c r="M4" i="48" s="1"/>
  <c r="W5" i="49" s="1"/>
  <c r="M49" i="47"/>
  <c r="C551" i="48" s="1"/>
  <c r="R182" i="45"/>
  <c r="R183" i="45"/>
  <c r="R185" i="45"/>
  <c r="R186" i="45"/>
  <c r="R8" i="45"/>
  <c r="R11" i="45"/>
  <c r="R14" i="45"/>
  <c r="R52" i="45"/>
  <c r="R17" i="45"/>
  <c r="R55" i="45" s="1"/>
  <c r="H158" i="45"/>
  <c r="S181" i="45"/>
  <c r="S184" i="45"/>
  <c r="S122" i="45" s="1"/>
  <c r="S187" i="45"/>
  <c r="S4" i="46"/>
  <c r="N4" i="48" s="1"/>
  <c r="X5" i="49" s="1"/>
  <c r="N49" i="47"/>
  <c r="C552" i="48" s="1"/>
  <c r="S182" i="45"/>
  <c r="S183" i="45"/>
  <c r="S185" i="45"/>
  <c r="S186" i="45"/>
  <c r="S8" i="45"/>
  <c r="S11" i="45"/>
  <c r="S14" i="45"/>
  <c r="S52" i="45"/>
  <c r="S17" i="45"/>
  <c r="S55" i="45"/>
  <c r="T11" i="45"/>
  <c r="T8" i="45"/>
  <c r="T4" i="46"/>
  <c r="O4" i="48" s="1"/>
  <c r="Y5" i="49" s="1"/>
  <c r="T14" i="45"/>
  <c r="T52" i="45"/>
  <c r="T17" i="45"/>
  <c r="T55" i="45" s="1"/>
  <c r="O49" i="47"/>
  <c r="C553" i="48" s="1"/>
  <c r="T184" i="45"/>
  <c r="T187" i="45"/>
  <c r="T182" i="45"/>
  <c r="T183" i="45"/>
  <c r="T185" i="45"/>
  <c r="T186" i="45"/>
  <c r="U11" i="45"/>
  <c r="U8" i="45"/>
  <c r="U4" i="46"/>
  <c r="P4" i="48" s="1"/>
  <c r="Z5" i="49" s="1"/>
  <c r="U14" i="45"/>
  <c r="U52" i="45"/>
  <c r="U17" i="45"/>
  <c r="U55" i="45"/>
  <c r="U187" i="45"/>
  <c r="U182" i="45"/>
  <c r="U183" i="45"/>
  <c r="U185" i="45"/>
  <c r="U186" i="45"/>
  <c r="V11" i="45"/>
  <c r="V8" i="45"/>
  <c r="V4" i="46"/>
  <c r="Q4" i="48" s="1"/>
  <c r="AA5" i="49" s="1"/>
  <c r="V14" i="45"/>
  <c r="V52" i="45" s="1"/>
  <c r="V17" i="45"/>
  <c r="V55" i="45"/>
  <c r="Q49" i="47"/>
  <c r="C555" i="48" s="1"/>
  <c r="V187" i="45"/>
  <c r="V182" i="45"/>
  <c r="V183" i="45"/>
  <c r="V185" i="45"/>
  <c r="V186" i="45"/>
  <c r="W187" i="45"/>
  <c r="W4" i="46"/>
  <c r="R4" i="48" s="1"/>
  <c r="AB5" i="49" s="1"/>
  <c r="R49" i="47"/>
  <c r="C556" i="48" s="1"/>
  <c r="W182" i="45"/>
  <c r="W183" i="45"/>
  <c r="W11" i="45"/>
  <c r="W8" i="45"/>
  <c r="W14" i="45"/>
  <c r="W52" i="45"/>
  <c r="W17" i="45"/>
  <c r="W55" i="45"/>
  <c r="C9" i="50"/>
  <c r="G9" i="50" s="1"/>
  <c r="C10" i="50"/>
  <c r="C12" i="50"/>
  <c r="G12" i="50" s="1"/>
  <c r="O49" i="80"/>
  <c r="O56" i="80"/>
  <c r="N49" i="80"/>
  <c r="N56" i="80"/>
  <c r="M49" i="80"/>
  <c r="M68" i="80" s="1"/>
  <c r="M56" i="80"/>
  <c r="P56" i="80"/>
  <c r="Q49" i="80"/>
  <c r="Q56" i="80"/>
  <c r="S49" i="80"/>
  <c r="AF187" i="45"/>
  <c r="AE187" i="45"/>
  <c r="AD187" i="45"/>
  <c r="AC187" i="45"/>
  <c r="AB187" i="45"/>
  <c r="AA187" i="45"/>
  <c r="Z187" i="45"/>
  <c r="Y187" i="45"/>
  <c r="X187" i="45"/>
  <c r="AF186" i="45"/>
  <c r="AE186" i="45"/>
  <c r="AD186" i="45"/>
  <c r="AC186" i="45"/>
  <c r="AB186" i="45"/>
  <c r="AA186" i="45"/>
  <c r="Z186" i="45"/>
  <c r="Y186" i="45"/>
  <c r="X186" i="45"/>
  <c r="W186" i="45"/>
  <c r="AF185" i="45"/>
  <c r="AE185" i="45"/>
  <c r="AD185" i="45"/>
  <c r="AC185" i="45"/>
  <c r="AB185" i="45"/>
  <c r="AA185" i="45"/>
  <c r="Z185" i="45"/>
  <c r="Y185" i="45"/>
  <c r="X185" i="45"/>
  <c r="W185" i="45"/>
  <c r="AF184" i="45"/>
  <c r="AF183" i="45"/>
  <c r="AE183" i="45"/>
  <c r="AD183" i="45"/>
  <c r="AC183" i="45"/>
  <c r="AB183" i="45"/>
  <c r="AA183" i="45"/>
  <c r="Z183" i="45"/>
  <c r="Y183" i="45"/>
  <c r="X183" i="45"/>
  <c r="AF182" i="45"/>
  <c r="AE182" i="45"/>
  <c r="AD182" i="45"/>
  <c r="AC182" i="45"/>
  <c r="AB182" i="45"/>
  <c r="AA182" i="45"/>
  <c r="Z182" i="45"/>
  <c r="Y182" i="45"/>
  <c r="X182" i="45"/>
  <c r="AF181" i="45"/>
  <c r="S28" i="46"/>
  <c r="V27" i="46"/>
  <c r="X27" i="46"/>
  <c r="Z27" i="46"/>
  <c r="AB27" i="46" s="1"/>
  <c r="AD27" i="46" s="1"/>
  <c r="AF27" i="46" s="1"/>
  <c r="U27" i="46"/>
  <c r="W27" i="46" s="1"/>
  <c r="Y27" i="46" s="1"/>
  <c r="AA27" i="46" s="1"/>
  <c r="AC27" i="46" s="1"/>
  <c r="AE27" i="46" s="1"/>
  <c r="L38" i="47"/>
  <c r="Q46" i="45" s="1"/>
  <c r="M38" i="47"/>
  <c r="R46" i="45" s="1"/>
  <c r="N38" i="47"/>
  <c r="S46" i="45" s="1"/>
  <c r="P7" i="47"/>
  <c r="P76" i="50" s="1"/>
  <c r="H42" i="48"/>
  <c r="H51" i="48"/>
  <c r="H75" i="48"/>
  <c r="H74" i="48"/>
  <c r="H83" i="48" s="1"/>
  <c r="H106" i="48"/>
  <c r="I106" i="48" s="1"/>
  <c r="H115" i="48"/>
  <c r="H170" i="48"/>
  <c r="H179" i="48"/>
  <c r="H243" i="48"/>
  <c r="H211" i="48"/>
  <c r="L267" i="48"/>
  <c r="K266" i="48"/>
  <c r="K267" i="48"/>
  <c r="J266" i="48"/>
  <c r="J267" i="48" s="1"/>
  <c r="I297" i="48"/>
  <c r="J297" i="48"/>
  <c r="L299" i="48"/>
  <c r="K298" i="48"/>
  <c r="K299" i="48"/>
  <c r="J298" i="48"/>
  <c r="J299" i="48" s="1"/>
  <c r="H339" i="48"/>
  <c r="H371" i="48"/>
  <c r="G42" i="48"/>
  <c r="G51" i="48"/>
  <c r="G74" i="48"/>
  <c r="G83" i="48"/>
  <c r="H107" i="48"/>
  <c r="G107" i="48"/>
  <c r="G106" i="48"/>
  <c r="G115" i="48" s="1"/>
  <c r="G170" i="48"/>
  <c r="G179" i="48" s="1"/>
  <c r="G243" i="48"/>
  <c r="G211" i="48"/>
  <c r="G307" i="48"/>
  <c r="G339" i="48"/>
  <c r="G371" i="48"/>
  <c r="D38" i="1"/>
  <c r="C10" i="47" s="1"/>
  <c r="K7" i="47"/>
  <c r="K32" i="80" s="1"/>
  <c r="L7" i="47"/>
  <c r="L76" i="50" s="1"/>
  <c r="N7" i="47"/>
  <c r="N76" i="50" s="1"/>
  <c r="Q7" i="47"/>
  <c r="Q76" i="50" s="1"/>
  <c r="R7" i="47"/>
  <c r="R76" i="50" s="1"/>
  <c r="S7" i="47"/>
  <c r="S76" i="50" s="1"/>
  <c r="F66" i="80"/>
  <c r="G66" i="80"/>
  <c r="H66" i="80" s="1"/>
  <c r="I66" i="80" s="1"/>
  <c r="J66" i="80" s="1"/>
  <c r="K66" i="80" s="1"/>
  <c r="L66" i="80" s="1"/>
  <c r="M66" i="80" s="1"/>
  <c r="N66" i="80" s="1"/>
  <c r="O66" i="80" s="1"/>
  <c r="P66" i="80" s="1"/>
  <c r="Q66" i="80" s="1"/>
  <c r="R66" i="80" s="1"/>
  <c r="S66" i="80" s="1"/>
  <c r="T66" i="80" s="1"/>
  <c r="U66" i="80" s="1"/>
  <c r="V66" i="80" s="1"/>
  <c r="J32" i="80"/>
  <c r="L32" i="80"/>
  <c r="M32" i="80"/>
  <c r="N32" i="80"/>
  <c r="O32" i="80"/>
  <c r="P32" i="80"/>
  <c r="Q32" i="80"/>
  <c r="R32" i="80"/>
  <c r="S32" i="80"/>
  <c r="H46" i="80"/>
  <c r="I46" i="80"/>
  <c r="J46" i="80"/>
  <c r="L46" i="80"/>
  <c r="M46" i="80"/>
  <c r="M72" i="80" s="1"/>
  <c r="Q46" i="80"/>
  <c r="R46" i="80"/>
  <c r="T46" i="80"/>
  <c r="U46" i="80"/>
  <c r="V46" i="80"/>
  <c r="W46" i="80"/>
  <c r="H49" i="80"/>
  <c r="H53" i="80"/>
  <c r="I49" i="80"/>
  <c r="I53" i="80"/>
  <c r="J49" i="80"/>
  <c r="J68" i="80" s="1"/>
  <c r="J53" i="80"/>
  <c r="K53" i="80"/>
  <c r="L49" i="80"/>
  <c r="L68" i="80" s="1"/>
  <c r="L53" i="80"/>
  <c r="L72" i="80" s="1"/>
  <c r="M53" i="80"/>
  <c r="N53" i="80"/>
  <c r="O53" i="80"/>
  <c r="Q53" i="80"/>
  <c r="Q72" i="80" s="1"/>
  <c r="T49" i="80"/>
  <c r="T53" i="80"/>
  <c r="U49" i="80"/>
  <c r="U68" i="80" s="1"/>
  <c r="U53" i="80"/>
  <c r="V49" i="80"/>
  <c r="V53" i="80"/>
  <c r="W49" i="80"/>
  <c r="W68" i="80" s="1"/>
  <c r="W53" i="80"/>
  <c r="H56" i="80"/>
  <c r="H60" i="80"/>
  <c r="I56" i="80"/>
  <c r="I68" i="80" s="1"/>
  <c r="I60" i="80"/>
  <c r="J56" i="80"/>
  <c r="J60" i="80"/>
  <c r="K56" i="80"/>
  <c r="K68" i="80" s="1"/>
  <c r="K60" i="80"/>
  <c r="L56" i="80"/>
  <c r="L60" i="80"/>
  <c r="M60" i="80"/>
  <c r="N60" i="80"/>
  <c r="O60" i="80"/>
  <c r="P60" i="80"/>
  <c r="Q60" i="80"/>
  <c r="T60" i="80"/>
  <c r="U56" i="80"/>
  <c r="U60" i="80"/>
  <c r="V56" i="80"/>
  <c r="V60" i="80"/>
  <c r="V72" i="80" s="1"/>
  <c r="W56" i="80"/>
  <c r="W60" i="80"/>
  <c r="U72" i="80"/>
  <c r="J72" i="80"/>
  <c r="G72" i="80"/>
  <c r="F72" i="80"/>
  <c r="G68" i="80"/>
  <c r="F68" i="80"/>
  <c r="E72" i="80"/>
  <c r="E70" i="80"/>
  <c r="E68" i="80"/>
  <c r="D73" i="80"/>
  <c r="D72" i="80"/>
  <c r="D71" i="80"/>
  <c r="D70" i="80"/>
  <c r="D69" i="80"/>
  <c r="D68" i="80"/>
  <c r="D67" i="80"/>
  <c r="F31" i="80"/>
  <c r="G31" i="80"/>
  <c r="H31" i="80" s="1"/>
  <c r="I31" i="80" s="1"/>
  <c r="J31" i="80" s="1"/>
  <c r="K31" i="80" s="1"/>
  <c r="L31" i="80" s="1"/>
  <c r="M31" i="80" s="1"/>
  <c r="N31" i="80" s="1"/>
  <c r="O31" i="80" s="1"/>
  <c r="P31" i="80" s="1"/>
  <c r="Q31" i="80" s="1"/>
  <c r="R31" i="80" s="1"/>
  <c r="S31" i="80" s="1"/>
  <c r="T31" i="80" s="1"/>
  <c r="U31" i="80" s="1"/>
  <c r="V31" i="80" s="1"/>
  <c r="W31" i="80" s="1"/>
  <c r="H5" i="50"/>
  <c r="E3" i="79" s="1"/>
  <c r="E30" i="79" s="1"/>
  <c r="I5" i="50"/>
  <c r="F3" i="79" s="1"/>
  <c r="F30" i="79" s="1"/>
  <c r="J5" i="50"/>
  <c r="G3" i="79" s="1"/>
  <c r="G30" i="79" s="1"/>
  <c r="K5" i="50"/>
  <c r="H3" i="79" s="1"/>
  <c r="H30" i="79" s="1"/>
  <c r="L5" i="50"/>
  <c r="I3" i="79" s="1"/>
  <c r="I30" i="79" s="1"/>
  <c r="M5" i="50"/>
  <c r="J3" i="79" s="1"/>
  <c r="J30" i="79" s="1"/>
  <c r="N5" i="50"/>
  <c r="K3" i="79" s="1"/>
  <c r="K30" i="79" s="1"/>
  <c r="O5" i="50"/>
  <c r="L3" i="79" s="1"/>
  <c r="L30" i="79" s="1"/>
  <c r="P5" i="50"/>
  <c r="M3" i="79" s="1"/>
  <c r="M30" i="79" s="1"/>
  <c r="Q5" i="50"/>
  <c r="N3" i="79" s="1"/>
  <c r="N30" i="79" s="1"/>
  <c r="R5" i="50"/>
  <c r="R107" i="50" s="1"/>
  <c r="O3" i="79"/>
  <c r="O30" i="79" s="1"/>
  <c r="X4" i="46"/>
  <c r="S4" i="48" s="1"/>
  <c r="AC5" i="49" s="1"/>
  <c r="Y4" i="46"/>
  <c r="T4" i="48" s="1"/>
  <c r="AD5" i="49" s="1"/>
  <c r="Z4" i="46"/>
  <c r="U5" i="50" s="1"/>
  <c r="R3" i="79" s="1"/>
  <c r="R30" i="79" s="1"/>
  <c r="AA4" i="46"/>
  <c r="V5" i="50" s="1"/>
  <c r="S3" i="79" s="1"/>
  <c r="S30" i="79" s="1"/>
  <c r="AB4" i="46"/>
  <c r="W5" i="50" s="1"/>
  <c r="T3" i="79" s="1"/>
  <c r="T30" i="79" s="1"/>
  <c r="J51" i="50"/>
  <c r="L15" i="46"/>
  <c r="L13" i="46"/>
  <c r="L13" i="45" s="1"/>
  <c r="L52" i="45" s="1"/>
  <c r="L14" i="45"/>
  <c r="L17" i="45"/>
  <c r="L10" i="46"/>
  <c r="M12" i="46" s="1"/>
  <c r="L16" i="46"/>
  <c r="M19" i="46"/>
  <c r="M20" i="46"/>
  <c r="M21" i="46"/>
  <c r="N21" i="46" s="1"/>
  <c r="O21" i="46" s="1"/>
  <c r="P21" i="46" s="1"/>
  <c r="Q21" i="46" s="1"/>
  <c r="R21" i="46" s="1"/>
  <c r="S21" i="46" s="1"/>
  <c r="T21" i="46" s="1"/>
  <c r="U21" i="46" s="1"/>
  <c r="V21" i="46" s="1"/>
  <c r="W21" i="46" s="1"/>
  <c r="X21" i="46" s="1"/>
  <c r="I42" i="48"/>
  <c r="I51" i="48"/>
  <c r="I75" i="48"/>
  <c r="I74" i="48"/>
  <c r="I83" i="48" s="1"/>
  <c r="I170" i="48"/>
  <c r="I179" i="48" s="1"/>
  <c r="I211" i="48"/>
  <c r="I243" i="48"/>
  <c r="I339" i="48"/>
  <c r="I371" i="48"/>
  <c r="C694" i="48"/>
  <c r="N19" i="46"/>
  <c r="N20" i="46"/>
  <c r="J42" i="48"/>
  <c r="J51" i="48" s="1"/>
  <c r="J74" i="48"/>
  <c r="J83" i="48" s="1"/>
  <c r="J170" i="48"/>
  <c r="J179" i="48" s="1"/>
  <c r="J211" i="48"/>
  <c r="J243" i="48"/>
  <c r="J275" i="48"/>
  <c r="J307" i="48"/>
  <c r="L331" i="48"/>
  <c r="K331" i="48" s="1"/>
  <c r="J371" i="48"/>
  <c r="C724" i="48"/>
  <c r="O19" i="46"/>
  <c r="O20" i="46"/>
  <c r="P20" i="46" s="1"/>
  <c r="Q20" i="46" s="1"/>
  <c r="R20" i="46" s="1"/>
  <c r="S20" i="46" s="1"/>
  <c r="T20" i="46" s="1"/>
  <c r="U20" i="46" s="1"/>
  <c r="V20" i="46" s="1"/>
  <c r="W20" i="46" s="1"/>
  <c r="K42" i="48"/>
  <c r="K51" i="48" s="1"/>
  <c r="K74" i="48"/>
  <c r="K83" i="48" s="1"/>
  <c r="K170" i="48"/>
  <c r="K179" i="48" s="1"/>
  <c r="K211" i="48"/>
  <c r="K243" i="48"/>
  <c r="K275" i="48"/>
  <c r="K307" i="48"/>
  <c r="L363" i="48"/>
  <c r="K363" i="48" s="1"/>
  <c r="K362" i="48" s="1"/>
  <c r="K371" i="48" s="1"/>
  <c r="C754" i="48"/>
  <c r="P19" i="46"/>
  <c r="Q18" i="45"/>
  <c r="Q56" i="45" s="1"/>
  <c r="L74" i="48"/>
  <c r="L83" i="48"/>
  <c r="L115" i="48"/>
  <c r="L170" i="48"/>
  <c r="L179" i="48" s="1"/>
  <c r="L211" i="48"/>
  <c r="L243" i="48"/>
  <c r="L275" i="48"/>
  <c r="L307" i="48"/>
  <c r="L339" i="48"/>
  <c r="L371" i="48"/>
  <c r="C784" i="48"/>
  <c r="Q16" i="46"/>
  <c r="Q19" i="46"/>
  <c r="J5" i="47"/>
  <c r="K5" i="47"/>
  <c r="M5" i="47" s="1"/>
  <c r="R18" i="45"/>
  <c r="R56" i="45" s="1"/>
  <c r="M74" i="48"/>
  <c r="M83" i="48"/>
  <c r="M115" i="48"/>
  <c r="M170" i="48"/>
  <c r="M179" i="48" s="1"/>
  <c r="M211" i="48"/>
  <c r="M243" i="48"/>
  <c r="M275" i="48"/>
  <c r="M307" i="48"/>
  <c r="M330" i="48"/>
  <c r="M339" i="48" s="1"/>
  <c r="M371" i="48"/>
  <c r="R16" i="46"/>
  <c r="R19" i="46"/>
  <c r="S18" i="45"/>
  <c r="S56" i="45" s="1"/>
  <c r="N74" i="48"/>
  <c r="N83" i="48" s="1"/>
  <c r="N115" i="48"/>
  <c r="N211" i="48"/>
  <c r="N243" i="48"/>
  <c r="N275" i="48"/>
  <c r="N307" i="48"/>
  <c r="N330" i="48"/>
  <c r="N339" i="48"/>
  <c r="N362" i="48"/>
  <c r="N371" i="48"/>
  <c r="S16" i="46"/>
  <c r="S19" i="46"/>
  <c r="T18" i="45"/>
  <c r="T56" i="45" s="1"/>
  <c r="O74" i="48"/>
  <c r="O83" i="48" s="1"/>
  <c r="O115" i="48"/>
  <c r="O211" i="48"/>
  <c r="O243" i="48"/>
  <c r="O275" i="48"/>
  <c r="O307" i="48"/>
  <c r="O330" i="48"/>
  <c r="O339" i="48"/>
  <c r="O362" i="48"/>
  <c r="O371" i="48"/>
  <c r="T16" i="46"/>
  <c r="T19" i="46"/>
  <c r="U18" i="45"/>
  <c r="U56" i="45" s="1"/>
  <c r="U54" i="45" s="1"/>
  <c r="P74" i="48"/>
  <c r="P83" i="48" s="1"/>
  <c r="P115" i="48"/>
  <c r="P211" i="48"/>
  <c r="P243" i="48"/>
  <c r="P275" i="48"/>
  <c r="P307" i="48"/>
  <c r="P330" i="48"/>
  <c r="P339" i="48"/>
  <c r="P362" i="48"/>
  <c r="P371" i="48"/>
  <c r="P48" i="47"/>
  <c r="P49" i="47" s="1"/>
  <c r="C554" i="48" s="1"/>
  <c r="U16" i="46"/>
  <c r="U19" i="46"/>
  <c r="V18" i="45"/>
  <c r="V56" i="45" s="1"/>
  <c r="Q115" i="48"/>
  <c r="Q211" i="48"/>
  <c r="Q243" i="48"/>
  <c r="Q275" i="48"/>
  <c r="Q307" i="48"/>
  <c r="Q330" i="48"/>
  <c r="R330" i="48" s="1"/>
  <c r="R339" i="48" s="1"/>
  <c r="Q362" i="48"/>
  <c r="Q371" i="48" s="1"/>
  <c r="V16" i="46"/>
  <c r="V19" i="46"/>
  <c r="W19" i="46" s="1"/>
  <c r="X19" i="46" s="1"/>
  <c r="Y19" i="46" s="1"/>
  <c r="Z19" i="46" s="1"/>
  <c r="AA19" i="46" s="1"/>
  <c r="AB19" i="46" s="1"/>
  <c r="W18" i="45"/>
  <c r="W56" i="45" s="1"/>
  <c r="R115" i="48"/>
  <c r="R211" i="48"/>
  <c r="R243" i="48"/>
  <c r="R275" i="48"/>
  <c r="R307" i="48"/>
  <c r="W16" i="46"/>
  <c r="X8" i="45"/>
  <c r="X11" i="45"/>
  <c r="X14" i="45"/>
  <c r="X52" i="45" s="1"/>
  <c r="X17" i="45"/>
  <c r="X55" i="45"/>
  <c r="X54" i="45" s="1"/>
  <c r="X18" i="45"/>
  <c r="X56" i="45"/>
  <c r="S115" i="48"/>
  <c r="S211" i="48"/>
  <c r="S243" i="48"/>
  <c r="S275" i="48"/>
  <c r="S307" i="48"/>
  <c r="S330" i="48"/>
  <c r="S48" i="47"/>
  <c r="S49" i="47" s="1"/>
  <c r="C557" i="48" s="1"/>
  <c r="X16" i="46"/>
  <c r="X20" i="46"/>
  <c r="Y20" i="46" s="1"/>
  <c r="Y8" i="45"/>
  <c r="Y11" i="45"/>
  <c r="Y14" i="45"/>
  <c r="Y52" i="45" s="1"/>
  <c r="Y17" i="45"/>
  <c r="Y55" i="45" s="1"/>
  <c r="Y18" i="45"/>
  <c r="Y56" i="45"/>
  <c r="Y54" i="45"/>
  <c r="T115" i="48"/>
  <c r="T211" i="48"/>
  <c r="T243" i="48"/>
  <c r="T275" i="48"/>
  <c r="T307" i="48"/>
  <c r="T680" i="48"/>
  <c r="T48" i="47"/>
  <c r="T49" i="47" s="1"/>
  <c r="C558" i="48" s="1"/>
  <c r="Y16" i="46"/>
  <c r="Y21" i="46"/>
  <c r="Z21" i="46" s="1"/>
  <c r="Z8" i="45"/>
  <c r="Z11" i="45"/>
  <c r="Z14" i="45"/>
  <c r="Z52" i="45"/>
  <c r="Z17" i="45"/>
  <c r="Z55" i="45" s="1"/>
  <c r="Z18" i="45"/>
  <c r="Z56" i="45"/>
  <c r="U115" i="48"/>
  <c r="U211" i="48"/>
  <c r="U243" i="48"/>
  <c r="U275" i="48"/>
  <c r="U307" i="48"/>
  <c r="U48" i="47"/>
  <c r="U49" i="47"/>
  <c r="C559" i="48" s="1"/>
  <c r="U666" i="48"/>
  <c r="Z16" i="46"/>
  <c r="Z20" i="46"/>
  <c r="AA20" i="46" s="1"/>
  <c r="AB20" i="46" s="1"/>
  <c r="AA16" i="46"/>
  <c r="AA21" i="46"/>
  <c r="V115" i="48"/>
  <c r="V211" i="48"/>
  <c r="V243" i="48"/>
  <c r="V275" i="48"/>
  <c r="V307" i="48"/>
  <c r="V48" i="47"/>
  <c r="V49" i="47"/>
  <c r="C560" i="48" s="1"/>
  <c r="V436" i="48"/>
  <c r="AA29" i="45"/>
  <c r="V670" i="48"/>
  <c r="R447" i="48"/>
  <c r="R607" i="48" s="1"/>
  <c r="Q447" i="48"/>
  <c r="Q607" i="48" s="1"/>
  <c r="P447" i="48"/>
  <c r="P607" i="48" s="1"/>
  <c r="O447" i="48"/>
  <c r="O607" i="48" s="1"/>
  <c r="N447" i="48"/>
  <c r="N607" i="48" s="1"/>
  <c r="J447" i="48"/>
  <c r="J607" i="48" s="1"/>
  <c r="H447" i="48"/>
  <c r="H607" i="48" s="1"/>
  <c r="G447" i="48"/>
  <c r="G607" i="48" s="1"/>
  <c r="V671" i="48"/>
  <c r="R462" i="48"/>
  <c r="R611" i="48" s="1"/>
  <c r="Q462" i="48"/>
  <c r="Q611" i="48" s="1"/>
  <c r="P462" i="48"/>
  <c r="P611" i="48" s="1"/>
  <c r="O462" i="48"/>
  <c r="O611" i="48" s="1"/>
  <c r="N462" i="48"/>
  <c r="N611" i="48" s="1"/>
  <c r="J462" i="48"/>
  <c r="J611" i="48" s="1"/>
  <c r="H462" i="48"/>
  <c r="H611" i="48" s="1"/>
  <c r="G462" i="48"/>
  <c r="G611" i="48" s="1"/>
  <c r="V676" i="48"/>
  <c r="R483" i="48"/>
  <c r="R616" i="48" s="1"/>
  <c r="Q483" i="48"/>
  <c r="Q616" i="48" s="1"/>
  <c r="P483" i="48"/>
  <c r="P616" i="48" s="1"/>
  <c r="O483" i="48"/>
  <c r="O616" i="48" s="1"/>
  <c r="N483" i="48"/>
  <c r="N616" i="48" s="1"/>
  <c r="I483" i="48"/>
  <c r="I616" i="48" s="1"/>
  <c r="H483" i="48"/>
  <c r="H616" i="48" s="1"/>
  <c r="G483" i="48"/>
  <c r="G616" i="48" s="1"/>
  <c r="R504" i="48"/>
  <c r="R621" i="48" s="1"/>
  <c r="Q504" i="48"/>
  <c r="Q621" i="48" s="1"/>
  <c r="P504" i="48"/>
  <c r="P621" i="48" s="1"/>
  <c r="O504" i="48"/>
  <c r="O621" i="48" s="1"/>
  <c r="N504" i="48"/>
  <c r="N621" i="48" s="1"/>
  <c r="I504" i="48"/>
  <c r="I621" i="48" s="1"/>
  <c r="H504" i="48"/>
  <c r="H621" i="48" s="1"/>
  <c r="G504" i="48"/>
  <c r="G621" i="48" s="1"/>
  <c r="R519" i="48"/>
  <c r="R625" i="48" s="1"/>
  <c r="Q519" i="48"/>
  <c r="Q625" i="48" s="1"/>
  <c r="P519" i="48"/>
  <c r="P625" i="48" s="1"/>
  <c r="O519" i="48"/>
  <c r="O625" i="48" s="1"/>
  <c r="K519" i="48"/>
  <c r="K625" i="48" s="1"/>
  <c r="J519" i="48"/>
  <c r="J625" i="48" s="1"/>
  <c r="I519" i="48"/>
  <c r="I625" i="48" s="1"/>
  <c r="H519" i="48"/>
  <c r="H625" i="48" s="1"/>
  <c r="G519" i="48"/>
  <c r="G625" i="48" s="1"/>
  <c r="V443" i="48"/>
  <c r="V444" i="48"/>
  <c r="V445" i="48"/>
  <c r="V446" i="48"/>
  <c r="V447" i="48"/>
  <c r="V442" i="48"/>
  <c r="V458" i="48"/>
  <c r="V459" i="48"/>
  <c r="V460" i="48"/>
  <c r="V461" i="48"/>
  <c r="V462" i="48"/>
  <c r="V479" i="48"/>
  <c r="V480" i="48"/>
  <c r="V481" i="48"/>
  <c r="V482" i="48"/>
  <c r="V483" i="48"/>
  <c r="V478" i="48"/>
  <c r="V500" i="48"/>
  <c r="V501" i="48"/>
  <c r="V502" i="48"/>
  <c r="V503" i="48"/>
  <c r="V504" i="48"/>
  <c r="V515" i="48"/>
  <c r="V516" i="48"/>
  <c r="V517" i="48"/>
  <c r="V518" i="48"/>
  <c r="V519" i="48"/>
  <c r="V514" i="48"/>
  <c r="AA8" i="45"/>
  <c r="AA11" i="45"/>
  <c r="AA14" i="45"/>
  <c r="AA52" i="45" s="1"/>
  <c r="AA17" i="45"/>
  <c r="AA55" i="45" s="1"/>
  <c r="AA18" i="45"/>
  <c r="AA56" i="45"/>
  <c r="AA54" i="45"/>
  <c r="R526" i="48"/>
  <c r="R627" i="48" s="1"/>
  <c r="Q526" i="48"/>
  <c r="Q627" i="48"/>
  <c r="P526" i="48"/>
  <c r="P627" i="48"/>
  <c r="O526" i="48"/>
  <c r="O627" i="48" s="1"/>
  <c r="N526" i="48"/>
  <c r="N627" i="48" s="1"/>
  <c r="M526" i="48"/>
  <c r="M627" i="48"/>
  <c r="L526" i="48"/>
  <c r="L627" i="48"/>
  <c r="K526" i="48"/>
  <c r="K627" i="48" s="1"/>
  <c r="J526" i="48"/>
  <c r="J627" i="48" s="1"/>
  <c r="I526" i="48"/>
  <c r="I627" i="48"/>
  <c r="H526" i="48"/>
  <c r="H627" i="48"/>
  <c r="G526" i="48"/>
  <c r="G627" i="48" s="1"/>
  <c r="V522" i="48"/>
  <c r="V523" i="48"/>
  <c r="V524" i="48"/>
  <c r="V525" i="48"/>
  <c r="V521" i="48" s="1"/>
  <c r="V526" i="48"/>
  <c r="R533" i="48"/>
  <c r="R628" i="48" s="1"/>
  <c r="Q533" i="48"/>
  <c r="Q628" i="48"/>
  <c r="P533" i="48"/>
  <c r="P628" i="48" s="1"/>
  <c r="O533" i="48"/>
  <c r="O628" i="48"/>
  <c r="N533" i="48"/>
  <c r="N628" i="48" s="1"/>
  <c r="M533" i="48"/>
  <c r="M628" i="48"/>
  <c r="L287" i="48"/>
  <c r="L533" i="48" s="1"/>
  <c r="L628" i="48"/>
  <c r="K287" i="48"/>
  <c r="K533" i="48" s="1"/>
  <c r="K628" i="48" s="1"/>
  <c r="J533" i="48"/>
  <c r="J628" i="48" s="1"/>
  <c r="I533" i="48"/>
  <c r="I628" i="48"/>
  <c r="H533" i="48"/>
  <c r="H628" i="48" s="1"/>
  <c r="G533" i="48"/>
  <c r="G628" i="48"/>
  <c r="V529" i="48"/>
  <c r="V530" i="48"/>
  <c r="V531" i="48"/>
  <c r="V532" i="48"/>
  <c r="V533" i="48"/>
  <c r="V528" i="48"/>
  <c r="V4" i="48"/>
  <c r="AF5" i="49"/>
  <c r="AF31" i="49"/>
  <c r="I443" i="48"/>
  <c r="I444" i="48"/>
  <c r="I446" i="48"/>
  <c r="I502" i="48"/>
  <c r="I503" i="48"/>
  <c r="I458" i="48"/>
  <c r="I459" i="48"/>
  <c r="I461" i="48"/>
  <c r="I479" i="48"/>
  <c r="I480" i="48"/>
  <c r="I482" i="48"/>
  <c r="I515" i="48"/>
  <c r="I518" i="48"/>
  <c r="I17" i="51"/>
  <c r="I18" i="51" s="1"/>
  <c r="I15" i="51"/>
  <c r="I522" i="48"/>
  <c r="I523" i="48"/>
  <c r="I521" i="48" s="1"/>
  <c r="I524" i="48"/>
  <c r="I525" i="48"/>
  <c r="I529" i="48"/>
  <c r="I530" i="48"/>
  <c r="I531" i="48"/>
  <c r="I532" i="48"/>
  <c r="I528" i="48"/>
  <c r="H443" i="48"/>
  <c r="H444" i="48"/>
  <c r="H442" i="48" s="1"/>
  <c r="H445" i="48"/>
  <c r="H446" i="48"/>
  <c r="H458" i="48"/>
  <c r="H459" i="48"/>
  <c r="H460" i="48"/>
  <c r="H457" i="48" s="1"/>
  <c r="H461" i="48"/>
  <c r="H479" i="48"/>
  <c r="H481" i="48"/>
  <c r="H482" i="48"/>
  <c r="H500" i="48"/>
  <c r="H501" i="48"/>
  <c r="H502" i="48"/>
  <c r="H499" i="48" s="1"/>
  <c r="H503" i="48"/>
  <c r="H515" i="48"/>
  <c r="H516" i="48"/>
  <c r="H514" i="48" s="1"/>
  <c r="H517" i="48"/>
  <c r="H518" i="48"/>
  <c r="H17" i="51"/>
  <c r="H24" i="51"/>
  <c r="H25" i="51"/>
  <c r="H522" i="48"/>
  <c r="H523" i="48"/>
  <c r="H524" i="48"/>
  <c r="H525" i="48"/>
  <c r="H521" i="48"/>
  <c r="H529" i="48"/>
  <c r="H530" i="48"/>
  <c r="H531" i="48"/>
  <c r="H532" i="48"/>
  <c r="H528" i="48" s="1"/>
  <c r="J502" i="48"/>
  <c r="J503" i="48"/>
  <c r="J443" i="48"/>
  <c r="J444" i="48"/>
  <c r="J445" i="48"/>
  <c r="J446" i="48"/>
  <c r="J442" i="48"/>
  <c r="J458" i="48"/>
  <c r="J459" i="48"/>
  <c r="J460" i="48"/>
  <c r="J461" i="48"/>
  <c r="J457" i="48" s="1"/>
  <c r="J479" i="48"/>
  <c r="J481" i="48"/>
  <c r="J517" i="48"/>
  <c r="J522" i="48"/>
  <c r="J523" i="48"/>
  <c r="J524" i="48"/>
  <c r="J525" i="48"/>
  <c r="J521" i="48" s="1"/>
  <c r="J529" i="48"/>
  <c r="J530" i="48"/>
  <c r="J531" i="48"/>
  <c r="J528" i="48" s="1"/>
  <c r="J532" i="48"/>
  <c r="K443" i="48"/>
  <c r="K444" i="48"/>
  <c r="K445" i="48"/>
  <c r="K446" i="48"/>
  <c r="K500" i="48"/>
  <c r="K501" i="48"/>
  <c r="K502" i="48"/>
  <c r="K503" i="48"/>
  <c r="K458" i="48"/>
  <c r="K459" i="48"/>
  <c r="K460" i="48"/>
  <c r="K461" i="48"/>
  <c r="K479" i="48"/>
  <c r="K480" i="48"/>
  <c r="K481" i="48"/>
  <c r="K482" i="48"/>
  <c r="K515" i="48"/>
  <c r="K517" i="48"/>
  <c r="K522" i="48"/>
  <c r="K523" i="48"/>
  <c r="K524" i="48"/>
  <c r="K525" i="48"/>
  <c r="K521" i="48"/>
  <c r="K529" i="48"/>
  <c r="K530" i="48"/>
  <c r="K531" i="48"/>
  <c r="K532" i="48"/>
  <c r="L443" i="48"/>
  <c r="L444" i="48"/>
  <c r="L445" i="48"/>
  <c r="L446" i="48"/>
  <c r="L500" i="48"/>
  <c r="L501" i="48"/>
  <c r="L502" i="48"/>
  <c r="L503" i="48"/>
  <c r="L458" i="48"/>
  <c r="L459" i="48"/>
  <c r="L460" i="48"/>
  <c r="L461" i="48"/>
  <c r="L479" i="48"/>
  <c r="L480" i="48"/>
  <c r="L481" i="48"/>
  <c r="L482" i="48"/>
  <c r="L515" i="48"/>
  <c r="L517" i="48"/>
  <c r="L518" i="48"/>
  <c r="L522" i="48"/>
  <c r="L523" i="48"/>
  <c r="L524" i="48"/>
  <c r="L525" i="48"/>
  <c r="L529" i="48"/>
  <c r="L530" i="48"/>
  <c r="L531" i="48"/>
  <c r="L528" i="48" s="1"/>
  <c r="L532" i="48"/>
  <c r="M443" i="48"/>
  <c r="M444" i="48"/>
  <c r="M445" i="48"/>
  <c r="M446" i="48"/>
  <c r="M500" i="48"/>
  <c r="M501" i="48"/>
  <c r="M502" i="48"/>
  <c r="M503" i="48"/>
  <c r="M458" i="48"/>
  <c r="M459" i="48"/>
  <c r="M460" i="48"/>
  <c r="M461" i="48"/>
  <c r="M479" i="48"/>
  <c r="M480" i="48"/>
  <c r="M481" i="48"/>
  <c r="M482" i="48"/>
  <c r="M515" i="48"/>
  <c r="M516" i="48"/>
  <c r="M517" i="48"/>
  <c r="M518" i="48"/>
  <c r="M522" i="48"/>
  <c r="M523" i="48"/>
  <c r="M521" i="48" s="1"/>
  <c r="M524" i="48"/>
  <c r="M525" i="48"/>
  <c r="M529" i="48"/>
  <c r="M530" i="48"/>
  <c r="M531" i="48"/>
  <c r="M532" i="48"/>
  <c r="M528" i="48"/>
  <c r="N443" i="48"/>
  <c r="N444" i="48"/>
  <c r="N442" i="48" s="1"/>
  <c r="N445" i="48"/>
  <c r="N446" i="48"/>
  <c r="N458" i="48"/>
  <c r="N459" i="48"/>
  <c r="N457" i="48" s="1"/>
  <c r="N460" i="48"/>
  <c r="N461" i="48"/>
  <c r="N479" i="48"/>
  <c r="N480" i="48"/>
  <c r="N478" i="48" s="1"/>
  <c r="N481" i="48"/>
  <c r="N482" i="48"/>
  <c r="N500" i="48"/>
  <c r="N501" i="48"/>
  <c r="N502" i="48"/>
  <c r="N503" i="48"/>
  <c r="N499" i="48"/>
  <c r="N515" i="48"/>
  <c r="N516" i="48"/>
  <c r="N517" i="48"/>
  <c r="N518" i="48"/>
  <c r="N522" i="48"/>
  <c r="N523" i="48"/>
  <c r="N521" i="48" s="1"/>
  <c r="N524" i="48"/>
  <c r="N525" i="48"/>
  <c r="N529" i="48"/>
  <c r="N530" i="48"/>
  <c r="N531" i="48"/>
  <c r="N532" i="48"/>
  <c r="O443" i="48"/>
  <c r="O444" i="48"/>
  <c r="O442" i="48" s="1"/>
  <c r="O445" i="48"/>
  <c r="O446" i="48"/>
  <c r="O458" i="48"/>
  <c r="O459" i="48"/>
  <c r="O460" i="48"/>
  <c r="O461" i="48"/>
  <c r="O457" i="48"/>
  <c r="O479" i="48"/>
  <c r="O480" i="48"/>
  <c r="O478" i="48" s="1"/>
  <c r="O481" i="48"/>
  <c r="O482" i="48"/>
  <c r="O500" i="48"/>
  <c r="O501" i="48"/>
  <c r="O499" i="48" s="1"/>
  <c r="O502" i="48"/>
  <c r="O503" i="48"/>
  <c r="O515" i="48"/>
  <c r="O516" i="48"/>
  <c r="O514" i="48" s="1"/>
  <c r="O517" i="48"/>
  <c r="O518" i="48"/>
  <c r="O522" i="48"/>
  <c r="O523" i="48"/>
  <c r="O524" i="48"/>
  <c r="O525" i="48"/>
  <c r="O521" i="48"/>
  <c r="O529" i="48"/>
  <c r="O530" i="48"/>
  <c r="O528" i="48" s="1"/>
  <c r="O531" i="48"/>
  <c r="O532" i="48"/>
  <c r="P443" i="48"/>
  <c r="P444" i="48"/>
  <c r="P445" i="48"/>
  <c r="P446" i="48"/>
  <c r="P458" i="48"/>
  <c r="P459" i="48"/>
  <c r="P457" i="48" s="1"/>
  <c r="P460" i="48"/>
  <c r="P461" i="48"/>
  <c r="P479" i="48"/>
  <c r="P480" i="48"/>
  <c r="P481" i="48"/>
  <c r="P482" i="48"/>
  <c r="P478" i="48"/>
  <c r="P500" i="48"/>
  <c r="P501" i="48"/>
  <c r="P499" i="48" s="1"/>
  <c r="P502" i="48"/>
  <c r="P503" i="48"/>
  <c r="P515" i="48"/>
  <c r="P516" i="48"/>
  <c r="P514" i="48" s="1"/>
  <c r="P517" i="48"/>
  <c r="P518" i="48"/>
  <c r="P522" i="48"/>
  <c r="P523" i="48"/>
  <c r="P521" i="48" s="1"/>
  <c r="P524" i="48"/>
  <c r="P525" i="48"/>
  <c r="P529" i="48"/>
  <c r="P530" i="48"/>
  <c r="P531" i="48"/>
  <c r="P532" i="48"/>
  <c r="P528" i="48"/>
  <c r="Q443" i="48"/>
  <c r="Q444" i="48"/>
  <c r="Q442" i="48" s="1"/>
  <c r="Q445" i="48"/>
  <c r="Q446" i="48"/>
  <c r="Q458" i="48"/>
  <c r="Q459" i="48"/>
  <c r="Q460" i="48"/>
  <c r="Q461" i="48"/>
  <c r="Q479" i="48"/>
  <c r="Q480" i="48"/>
  <c r="Q478" i="48" s="1"/>
  <c r="Q481" i="48"/>
  <c r="Q482" i="48"/>
  <c r="Q500" i="48"/>
  <c r="Q501" i="48"/>
  <c r="Q502" i="48"/>
  <c r="Q503" i="48"/>
  <c r="Q499" i="48"/>
  <c r="Q515" i="48"/>
  <c r="Q516" i="48"/>
  <c r="Q514" i="48" s="1"/>
  <c r="Q517" i="48"/>
  <c r="Q518" i="48"/>
  <c r="Q522" i="48"/>
  <c r="Q523" i="48"/>
  <c r="Q524" i="48"/>
  <c r="Q525" i="48"/>
  <c r="Q529" i="48"/>
  <c r="Q530" i="48"/>
  <c r="Q528" i="48" s="1"/>
  <c r="Q531" i="48"/>
  <c r="Q532" i="48"/>
  <c r="R443" i="48"/>
  <c r="R444" i="48"/>
  <c r="R445" i="48"/>
  <c r="R446" i="48"/>
  <c r="R442" i="48"/>
  <c r="R458" i="48"/>
  <c r="R459" i="48"/>
  <c r="R457" i="48" s="1"/>
  <c r="R460" i="48"/>
  <c r="R461" i="48"/>
  <c r="R479" i="48"/>
  <c r="R480" i="48"/>
  <c r="R481" i="48"/>
  <c r="R482" i="48"/>
  <c r="R500" i="48"/>
  <c r="R501" i="48"/>
  <c r="R499" i="48" s="1"/>
  <c r="R502" i="48"/>
  <c r="R503" i="48"/>
  <c r="R515" i="48"/>
  <c r="R516" i="48"/>
  <c r="R517" i="48"/>
  <c r="R518" i="48"/>
  <c r="R514" i="48"/>
  <c r="R522" i="48"/>
  <c r="R523" i="48"/>
  <c r="R521" i="48" s="1"/>
  <c r="R524" i="48"/>
  <c r="R525" i="48"/>
  <c r="R529" i="48"/>
  <c r="R530" i="48"/>
  <c r="R531" i="48"/>
  <c r="R532" i="48"/>
  <c r="R528" i="48"/>
  <c r="S443" i="48"/>
  <c r="S444" i="48"/>
  <c r="S445" i="48"/>
  <c r="S446" i="48"/>
  <c r="S447" i="48"/>
  <c r="S458" i="48"/>
  <c r="S459" i="48"/>
  <c r="S460" i="48"/>
  <c r="S461" i="48"/>
  <c r="S462" i="48"/>
  <c r="S457" i="48"/>
  <c r="S479" i="48"/>
  <c r="S480" i="48"/>
  <c r="S481" i="48"/>
  <c r="S478" i="48" s="1"/>
  <c r="S482" i="48"/>
  <c r="S483" i="48"/>
  <c r="S500" i="48"/>
  <c r="S501" i="48"/>
  <c r="S502" i="48"/>
  <c r="S503" i="48"/>
  <c r="S504" i="48"/>
  <c r="S499" i="48"/>
  <c r="S515" i="48"/>
  <c r="S516" i="48"/>
  <c r="S517" i="48"/>
  <c r="S514" i="48" s="1"/>
  <c r="S518" i="48"/>
  <c r="S519" i="48"/>
  <c r="S522" i="48"/>
  <c r="S523" i="48"/>
  <c r="S524" i="48"/>
  <c r="S525" i="48"/>
  <c r="S526" i="48"/>
  <c r="S521" i="48"/>
  <c r="S529" i="48"/>
  <c r="S530" i="48"/>
  <c r="S531" i="48"/>
  <c r="S528" i="48" s="1"/>
  <c r="S532" i="48"/>
  <c r="S533" i="48"/>
  <c r="T443" i="48"/>
  <c r="T444" i="48"/>
  <c r="T445" i="48"/>
  <c r="T446" i="48"/>
  <c r="T447" i="48"/>
  <c r="T442" i="48"/>
  <c r="T458" i="48"/>
  <c r="T459" i="48"/>
  <c r="T460" i="48"/>
  <c r="T461" i="48"/>
  <c r="T457" i="48" s="1"/>
  <c r="T462" i="48"/>
  <c r="T479" i="48"/>
  <c r="T480" i="48"/>
  <c r="T481" i="48"/>
  <c r="T482" i="48"/>
  <c r="T483" i="48"/>
  <c r="T478" i="48"/>
  <c r="T500" i="48"/>
  <c r="T501" i="48"/>
  <c r="T502" i="48"/>
  <c r="T503" i="48"/>
  <c r="T499" i="48" s="1"/>
  <c r="T504" i="48"/>
  <c r="T515" i="48"/>
  <c r="T516" i="48"/>
  <c r="T517" i="48"/>
  <c r="T518" i="48"/>
  <c r="T519" i="48"/>
  <c r="T514" i="48"/>
  <c r="T522" i="48"/>
  <c r="T523" i="48"/>
  <c r="T524" i="48"/>
  <c r="T525" i="48"/>
  <c r="T521" i="48" s="1"/>
  <c r="T526" i="48"/>
  <c r="T529" i="48"/>
  <c r="T530" i="48"/>
  <c r="T531" i="48"/>
  <c r="T532" i="48"/>
  <c r="T533" i="48"/>
  <c r="T528" i="48"/>
  <c r="U671" i="48"/>
  <c r="U676" i="48"/>
  <c r="U443" i="48"/>
  <c r="U444" i="48"/>
  <c r="U445" i="48"/>
  <c r="U446" i="48"/>
  <c r="U442" i="48" s="1"/>
  <c r="U447" i="48"/>
  <c r="U458" i="48"/>
  <c r="U459" i="48"/>
  <c r="U460" i="48"/>
  <c r="U461" i="48"/>
  <c r="U462" i="48"/>
  <c r="U457" i="48"/>
  <c r="U479" i="48"/>
  <c r="U480" i="48"/>
  <c r="U481" i="48"/>
  <c r="U482" i="48"/>
  <c r="U478" i="48" s="1"/>
  <c r="U483" i="48"/>
  <c r="U500" i="48"/>
  <c r="U501" i="48"/>
  <c r="U502" i="48"/>
  <c r="U503" i="48"/>
  <c r="U504" i="48"/>
  <c r="U499" i="48"/>
  <c r="U515" i="48"/>
  <c r="U516" i="48"/>
  <c r="U517" i="48"/>
  <c r="U518" i="48"/>
  <c r="U514" i="48" s="1"/>
  <c r="U519" i="48"/>
  <c r="U522" i="48"/>
  <c r="U523" i="48"/>
  <c r="U524" i="48"/>
  <c r="U521" i="48" s="1"/>
  <c r="U525" i="48"/>
  <c r="U526" i="48"/>
  <c r="U529" i="48"/>
  <c r="U530" i="48"/>
  <c r="U531" i="48"/>
  <c r="U528" i="48" s="1"/>
  <c r="U532" i="48"/>
  <c r="U533" i="48"/>
  <c r="U4" i="48"/>
  <c r="AE5" i="49" s="1"/>
  <c r="AE23" i="49"/>
  <c r="AA66" i="45"/>
  <c r="V675" i="48"/>
  <c r="AB16" i="46"/>
  <c r="AB21" i="46"/>
  <c r="W115" i="48"/>
  <c r="W211" i="48"/>
  <c r="W243" i="48"/>
  <c r="W275" i="48"/>
  <c r="W307" i="48"/>
  <c r="W48" i="47"/>
  <c r="W49" i="47" s="1"/>
  <c r="C561" i="48" s="1"/>
  <c r="W436" i="48"/>
  <c r="AB29" i="45"/>
  <c r="W443" i="48"/>
  <c r="W444" i="48"/>
  <c r="W445" i="48"/>
  <c r="W446" i="48"/>
  <c r="W447" i="48"/>
  <c r="W442" i="48"/>
  <c r="W458" i="48"/>
  <c r="W457" i="48" s="1"/>
  <c r="W459" i="48"/>
  <c r="W460" i="48"/>
  <c r="W461" i="48"/>
  <c r="W462" i="48"/>
  <c r="W479" i="48"/>
  <c r="W480" i="48"/>
  <c r="W481" i="48"/>
  <c r="W482" i="48"/>
  <c r="W483" i="48"/>
  <c r="W478" i="48"/>
  <c r="W500" i="48"/>
  <c r="W499" i="48" s="1"/>
  <c r="W501" i="48"/>
  <c r="W502" i="48"/>
  <c r="W503" i="48"/>
  <c r="W504" i="48"/>
  <c r="W515" i="48"/>
  <c r="W516" i="48"/>
  <c r="W517" i="48"/>
  <c r="W518" i="48"/>
  <c r="W519" i="48"/>
  <c r="W514" i="48"/>
  <c r="AB8" i="45"/>
  <c r="AB11" i="45"/>
  <c r="AB14" i="45"/>
  <c r="AB52" i="45" s="1"/>
  <c r="AB17" i="45"/>
  <c r="AB55" i="45" s="1"/>
  <c r="AB54" i="45" s="1"/>
  <c r="AB18" i="45"/>
  <c r="AB56" i="45"/>
  <c r="W522" i="48"/>
  <c r="W523" i="48"/>
  <c r="W524" i="48"/>
  <c r="W525" i="48"/>
  <c r="W526" i="48"/>
  <c r="W521" i="48"/>
  <c r="W529" i="48"/>
  <c r="W530" i="48"/>
  <c r="W531" i="48"/>
  <c r="W532" i="48"/>
  <c r="W533" i="48"/>
  <c r="W528" i="48"/>
  <c r="W4" i="48"/>
  <c r="AG5" i="49"/>
  <c r="AG6" i="49" s="1"/>
  <c r="AG9" i="49"/>
  <c r="AG13" i="49"/>
  <c r="AG22" i="49"/>
  <c r="AG31" i="49"/>
  <c r="AG35" i="49"/>
  <c r="AG39" i="49"/>
  <c r="W56" i="50"/>
  <c r="W59" i="50" s="1"/>
  <c r="F45" i="79"/>
  <c r="G45" i="79"/>
  <c r="T45" i="79"/>
  <c r="T46" i="79"/>
  <c r="G47" i="79"/>
  <c r="K47" i="79"/>
  <c r="F48" i="79"/>
  <c r="G48" i="79"/>
  <c r="I48" i="79"/>
  <c r="Q48" i="79"/>
  <c r="R48" i="79"/>
  <c r="S48" i="79"/>
  <c r="T48" i="79"/>
  <c r="E45" i="79"/>
  <c r="AB66" i="45"/>
  <c r="K7" i="46"/>
  <c r="K10" i="46"/>
  <c r="K13" i="46"/>
  <c r="K16" i="46"/>
  <c r="K6" i="46" s="1"/>
  <c r="K6" i="45" s="1"/>
  <c r="K25" i="45"/>
  <c r="K28" i="45"/>
  <c r="K31" i="45"/>
  <c r="K34" i="45"/>
  <c r="K37" i="45"/>
  <c r="K24" i="45"/>
  <c r="K45" i="45"/>
  <c r="K48" i="45"/>
  <c r="K51" i="45"/>
  <c r="K62" i="45"/>
  <c r="K65" i="45"/>
  <c r="K68" i="45"/>
  <c r="K71" i="45"/>
  <c r="K74" i="45"/>
  <c r="K61" i="45"/>
  <c r="K125" i="45"/>
  <c r="K118" i="45" s="1"/>
  <c r="D24" i="79"/>
  <c r="C24" i="79"/>
  <c r="C23" i="79"/>
  <c r="K99" i="45"/>
  <c r="C15" i="79" s="1"/>
  <c r="C11" i="79"/>
  <c r="C7" i="79"/>
  <c r="D6" i="79"/>
  <c r="B51" i="79"/>
  <c r="B49" i="79"/>
  <c r="B48" i="79"/>
  <c r="B47" i="79"/>
  <c r="B46" i="79"/>
  <c r="B45" i="79"/>
  <c r="B43" i="79"/>
  <c r="B41" i="79"/>
  <c r="B40" i="79"/>
  <c r="B38" i="79"/>
  <c r="B37" i="79"/>
  <c r="B35" i="79"/>
  <c r="B34" i="79"/>
  <c r="B33" i="79"/>
  <c r="B32" i="79"/>
  <c r="B31" i="79"/>
  <c r="B27" i="79"/>
  <c r="B26" i="79"/>
  <c r="B24" i="79"/>
  <c r="B23" i="79"/>
  <c r="B21" i="79"/>
  <c r="B20" i="79"/>
  <c r="B18" i="79"/>
  <c r="B17" i="79"/>
  <c r="B15" i="79"/>
  <c r="B14" i="79"/>
  <c r="B13" i="79"/>
  <c r="B11" i="79"/>
  <c r="B10" i="79"/>
  <c r="B9" i="79"/>
  <c r="B7" i="79"/>
  <c r="B6" i="79"/>
  <c r="B5" i="79"/>
  <c r="D13" i="51"/>
  <c r="G390" i="48"/>
  <c r="G358" i="48"/>
  <c r="G326" i="48"/>
  <c r="G542" i="48" s="1"/>
  <c r="G630" i="48" s="1"/>
  <c r="G294" i="48"/>
  <c r="G52" i="50"/>
  <c r="H390" i="48"/>
  <c r="H358" i="48"/>
  <c r="H542" i="48" s="1"/>
  <c r="H630" i="48" s="1"/>
  <c r="H326" i="48"/>
  <c r="H294" i="48"/>
  <c r="I390" i="48"/>
  <c r="I358" i="48"/>
  <c r="I326" i="48"/>
  <c r="I542" i="48" s="1"/>
  <c r="I630" i="48" s="1"/>
  <c r="I294" i="48"/>
  <c r="O366" i="48"/>
  <c r="N366" i="48" s="1"/>
  <c r="N390" i="48" s="1"/>
  <c r="O334" i="48"/>
  <c r="O358" i="48" s="1"/>
  <c r="N334" i="48"/>
  <c r="N358" i="48" s="1"/>
  <c r="O302" i="48"/>
  <c r="N302" i="48"/>
  <c r="O326" i="48"/>
  <c r="J270" i="48"/>
  <c r="K270" i="48"/>
  <c r="M366" i="48"/>
  <c r="M334" i="48"/>
  <c r="M302" i="48"/>
  <c r="N326" i="48"/>
  <c r="M390" i="48"/>
  <c r="L334" i="48"/>
  <c r="M358" i="48" s="1"/>
  <c r="L302" i="48"/>
  <c r="L326" i="48" s="1"/>
  <c r="L390" i="48"/>
  <c r="L303" i="48"/>
  <c r="K303" i="48" s="1"/>
  <c r="K302" i="48" s="1"/>
  <c r="K326" i="48" s="1"/>
  <c r="K542" i="48" s="1"/>
  <c r="K630" i="48" s="1"/>
  <c r="K390" i="48"/>
  <c r="K358" i="48"/>
  <c r="K294" i="48"/>
  <c r="J390" i="48"/>
  <c r="J358" i="48"/>
  <c r="J542" i="48" s="1"/>
  <c r="J630" i="48" s="1"/>
  <c r="J326" i="48"/>
  <c r="J294" i="48"/>
  <c r="P366" i="48"/>
  <c r="P390" i="48" s="1"/>
  <c r="P334" i="48"/>
  <c r="P358" i="48" s="1"/>
  <c r="P302" i="48"/>
  <c r="P326" i="48" s="1"/>
  <c r="G53" i="50"/>
  <c r="I13" i="51"/>
  <c r="I14" i="51"/>
  <c r="H12" i="51"/>
  <c r="H13" i="51" s="1"/>
  <c r="H11" i="51"/>
  <c r="C53" i="47"/>
  <c r="D19" i="51" s="1"/>
  <c r="C54" i="47"/>
  <c r="K53" i="51"/>
  <c r="K46" i="51"/>
  <c r="M39" i="51"/>
  <c r="L39" i="51"/>
  <c r="K32" i="51"/>
  <c r="I25" i="51"/>
  <c r="H10" i="51"/>
  <c r="I10" i="51"/>
  <c r="I9" i="51"/>
  <c r="AF18" i="45"/>
  <c r="AF56" i="45" s="1"/>
  <c r="AE18" i="45"/>
  <c r="AE56" i="45"/>
  <c r="AD18" i="45"/>
  <c r="AD56" i="45" s="1"/>
  <c r="AC18" i="45"/>
  <c r="AC56" i="45"/>
  <c r="AF17" i="45"/>
  <c r="AF55" i="45" s="1"/>
  <c r="AE17" i="45"/>
  <c r="AE55" i="45"/>
  <c r="AD17" i="45"/>
  <c r="AD55" i="45" s="1"/>
  <c r="AC17" i="45"/>
  <c r="AC55" i="45"/>
  <c r="AF14" i="45"/>
  <c r="AF52" i="45"/>
  <c r="AE14" i="45"/>
  <c r="AE52" i="45"/>
  <c r="AD14" i="45"/>
  <c r="AD52" i="45"/>
  <c r="AC14" i="45"/>
  <c r="AC52" i="45"/>
  <c r="AF11" i="45"/>
  <c r="AE11" i="45"/>
  <c r="AD11" i="45"/>
  <c r="AC11" i="45"/>
  <c r="AC4" i="46"/>
  <c r="AD4" i="46"/>
  <c r="AE4" i="46"/>
  <c r="AF4" i="46"/>
  <c r="AF8" i="45"/>
  <c r="AE8" i="45"/>
  <c r="AD8" i="45"/>
  <c r="AC8" i="45"/>
  <c r="E41" i="47"/>
  <c r="C241" i="52"/>
  <c r="C266" i="52" s="1"/>
  <c r="C216" i="52"/>
  <c r="H400" i="48"/>
  <c r="I400" i="48"/>
  <c r="I6" i="51"/>
  <c r="I24" i="51"/>
  <c r="I21" i="51"/>
  <c r="I31" i="51"/>
  <c r="I28" i="51" s="1"/>
  <c r="I32" i="51"/>
  <c r="I38" i="51"/>
  <c r="I39" i="51" s="1"/>
  <c r="I35" i="51" s="1"/>
  <c r="I45" i="51"/>
  <c r="I46" i="51"/>
  <c r="I42" i="51" s="1"/>
  <c r="I52" i="51"/>
  <c r="I53" i="51" s="1"/>
  <c r="H6" i="51"/>
  <c r="H31" i="51"/>
  <c r="H32" i="51" s="1"/>
  <c r="H38" i="51"/>
  <c r="H35" i="51" s="1"/>
  <c r="H39" i="51"/>
  <c r="H45" i="51"/>
  <c r="H46" i="51" s="1"/>
  <c r="H42" i="51" s="1"/>
  <c r="H52" i="51"/>
  <c r="H53" i="51"/>
  <c r="H49" i="51" s="1"/>
  <c r="G9" i="51"/>
  <c r="G6" i="51" s="1"/>
  <c r="G18" i="51"/>
  <c r="G15" i="51" s="1"/>
  <c r="G24" i="51"/>
  <c r="G25" i="51" s="1"/>
  <c r="G31" i="51"/>
  <c r="G28" i="51" s="1"/>
  <c r="G32" i="51"/>
  <c r="G38" i="51"/>
  <c r="G39" i="51" s="1"/>
  <c r="G35" i="51" s="1"/>
  <c r="G45" i="51"/>
  <c r="G46" i="51"/>
  <c r="G42" i="51" s="1"/>
  <c r="G52" i="51"/>
  <c r="G53" i="51" s="1"/>
  <c r="J9" i="51"/>
  <c r="J6" i="51" s="1"/>
  <c r="J18" i="51"/>
  <c r="J15" i="51" s="1"/>
  <c r="J24" i="51"/>
  <c r="J25" i="51" s="1"/>
  <c r="J31" i="51"/>
  <c r="J28" i="51" s="1"/>
  <c r="J32" i="51"/>
  <c r="J38" i="51"/>
  <c r="J39" i="51" s="1"/>
  <c r="J35" i="51" s="1"/>
  <c r="J45" i="51"/>
  <c r="J46" i="51"/>
  <c r="J42" i="51" s="1"/>
  <c r="J52" i="51"/>
  <c r="J53" i="51" s="1"/>
  <c r="K38" i="51"/>
  <c r="K6" i="51"/>
  <c r="K18" i="51"/>
  <c r="K15" i="51"/>
  <c r="K24" i="51"/>
  <c r="K25" i="51"/>
  <c r="K21" i="51" s="1"/>
  <c r="K31" i="51"/>
  <c r="K28" i="51" s="1"/>
  <c r="K45" i="51"/>
  <c r="K42" i="51" s="1"/>
  <c r="K52" i="51"/>
  <c r="K49" i="51" s="1"/>
  <c r="K9" i="51"/>
  <c r="L6" i="51"/>
  <c r="L18" i="51"/>
  <c r="L15" i="51"/>
  <c r="L24" i="51"/>
  <c r="L25" i="51"/>
  <c r="L21" i="51" s="1"/>
  <c r="L31" i="51"/>
  <c r="L32" i="51" s="1"/>
  <c r="L28" i="51" s="1"/>
  <c r="L38" i="51"/>
  <c r="L35" i="51"/>
  <c r="L45" i="51"/>
  <c r="L46" i="51"/>
  <c r="L42" i="51" s="1"/>
  <c r="L52" i="51"/>
  <c r="L53" i="51" s="1"/>
  <c r="L49" i="51" s="1"/>
  <c r="L9" i="51"/>
  <c r="M6" i="51"/>
  <c r="M18" i="51"/>
  <c r="M15" i="51"/>
  <c r="M24" i="51"/>
  <c r="M21" i="51" s="1"/>
  <c r="M25" i="51"/>
  <c r="M31" i="51"/>
  <c r="M32" i="51" s="1"/>
  <c r="M28" i="51" s="1"/>
  <c r="M38" i="51"/>
  <c r="N38" i="51"/>
  <c r="N35" i="51" s="1"/>
  <c r="M35" i="51"/>
  <c r="M45" i="51"/>
  <c r="M46" i="51" s="1"/>
  <c r="M52" i="51"/>
  <c r="M49" i="51" s="1"/>
  <c r="M53" i="51"/>
  <c r="M9" i="51"/>
  <c r="N6" i="51"/>
  <c r="N18" i="51"/>
  <c r="N15" i="51"/>
  <c r="N24" i="51"/>
  <c r="N21" i="51" s="1"/>
  <c r="N25" i="51"/>
  <c r="N31" i="51"/>
  <c r="N32" i="51" s="1"/>
  <c r="N28" i="51" s="1"/>
  <c r="N45" i="51"/>
  <c r="N46" i="51" s="1"/>
  <c r="N42" i="51" s="1"/>
  <c r="N52" i="51"/>
  <c r="N53" i="51"/>
  <c r="N49" i="51" s="1"/>
  <c r="N9" i="51"/>
  <c r="O6" i="51" s="1"/>
  <c r="O18" i="51"/>
  <c r="O15" i="51" s="1"/>
  <c r="O24" i="51"/>
  <c r="O25" i="51" s="1"/>
  <c r="O21" i="51" s="1"/>
  <c r="O31" i="51"/>
  <c r="O32" i="51"/>
  <c r="O28" i="51" s="1"/>
  <c r="O38" i="51"/>
  <c r="O39" i="51" s="1"/>
  <c r="O45" i="51"/>
  <c r="O42" i="51" s="1"/>
  <c r="O46" i="51"/>
  <c r="O52" i="51"/>
  <c r="O53" i="51" s="1"/>
  <c r="O49" i="51" s="1"/>
  <c r="O9" i="51"/>
  <c r="P6" i="51" s="1"/>
  <c r="P18" i="51"/>
  <c r="P15" i="51" s="1"/>
  <c r="P24" i="51"/>
  <c r="P25" i="51" s="1"/>
  <c r="P21" i="51" s="1"/>
  <c r="P31" i="51"/>
  <c r="P32" i="51"/>
  <c r="P28" i="51" s="1"/>
  <c r="P38" i="51"/>
  <c r="P39" i="51" s="1"/>
  <c r="P45" i="51"/>
  <c r="P42" i="51" s="1"/>
  <c r="P46" i="51"/>
  <c r="P52" i="51"/>
  <c r="P53" i="51" s="1"/>
  <c r="P49" i="51" s="1"/>
  <c r="Q366" i="48"/>
  <c r="Q390" i="48" s="1"/>
  <c r="Q334" i="48"/>
  <c r="Q358" i="48" s="1"/>
  <c r="Q302" i="48"/>
  <c r="Q326" i="48" s="1"/>
  <c r="C9" i="52"/>
  <c r="G9" i="52" s="1"/>
  <c r="E24" i="52" s="1"/>
  <c r="G10" i="52"/>
  <c r="C25" i="52" s="1"/>
  <c r="E25" i="52"/>
  <c r="F25" i="52" s="1"/>
  <c r="E26" i="52"/>
  <c r="F26" i="52" s="1"/>
  <c r="C26" i="52"/>
  <c r="C11" i="52"/>
  <c r="G11" i="52" s="1"/>
  <c r="F12" i="52"/>
  <c r="C34" i="52"/>
  <c r="G34" i="52" s="1"/>
  <c r="E49" i="52" s="1"/>
  <c r="G35" i="52"/>
  <c r="C50" i="52" s="1"/>
  <c r="E50" i="52"/>
  <c r="F50" i="52" s="1"/>
  <c r="E51" i="52"/>
  <c r="F51" i="52" s="1"/>
  <c r="C51" i="52"/>
  <c r="C36" i="52"/>
  <c r="G36" i="52" s="1"/>
  <c r="F37" i="52"/>
  <c r="G59" i="52"/>
  <c r="E74" i="52" s="1"/>
  <c r="G60" i="52"/>
  <c r="E75" i="52" s="1"/>
  <c r="F75" i="52" s="1"/>
  <c r="C75" i="52"/>
  <c r="N60" i="52"/>
  <c r="C66" i="52" s="1"/>
  <c r="C61" i="52"/>
  <c r="C86" i="52" s="1"/>
  <c r="G86" i="52" s="1"/>
  <c r="G61" i="52"/>
  <c r="E77" i="52" s="1"/>
  <c r="F62" i="52"/>
  <c r="G109" i="52"/>
  <c r="E124" i="52" s="1"/>
  <c r="G110" i="52"/>
  <c r="E125" i="52" s="1"/>
  <c r="F125" i="52" s="1"/>
  <c r="C125" i="52"/>
  <c r="E126" i="52"/>
  <c r="C126" i="52"/>
  <c r="F126" i="52"/>
  <c r="G111" i="52"/>
  <c r="E127" i="52"/>
  <c r="C127" i="52"/>
  <c r="F127" i="52"/>
  <c r="F137" i="52"/>
  <c r="G184" i="52"/>
  <c r="E199" i="52"/>
  <c r="G185" i="52"/>
  <c r="E200" i="52"/>
  <c r="C200" i="52"/>
  <c r="V278" i="48" s="1"/>
  <c r="F200" i="52"/>
  <c r="E201" i="52"/>
  <c r="C201" i="52"/>
  <c r="V281" i="48" s="1"/>
  <c r="F201" i="52"/>
  <c r="G186" i="52"/>
  <c r="E202" i="52" s="1"/>
  <c r="F202" i="52" s="1"/>
  <c r="C202" i="52"/>
  <c r="V279" i="48" s="1"/>
  <c r="F187" i="52"/>
  <c r="C209" i="52"/>
  <c r="C218" i="52"/>
  <c r="G209" i="52" s="1"/>
  <c r="E224" i="52" s="1"/>
  <c r="C210" i="52"/>
  <c r="G210" i="52"/>
  <c r="E225" i="52" s="1"/>
  <c r="E226" i="52"/>
  <c r="F226" i="52" s="1"/>
  <c r="C226" i="52"/>
  <c r="C211" i="52"/>
  <c r="G211" i="52"/>
  <c r="C227" i="52" s="1"/>
  <c r="F212" i="52"/>
  <c r="C234" i="52"/>
  <c r="G234" i="52"/>
  <c r="E249" i="52" s="1"/>
  <c r="C235" i="52"/>
  <c r="G235" i="52" s="1"/>
  <c r="E251" i="52"/>
  <c r="F251" i="52" s="1"/>
  <c r="C251" i="52"/>
  <c r="C236" i="52"/>
  <c r="G236" i="52" s="1"/>
  <c r="C238" i="52"/>
  <c r="C239" i="52"/>
  <c r="C264" i="52" s="1"/>
  <c r="C281" i="52" s="1"/>
  <c r="C240" i="52"/>
  <c r="F237" i="52"/>
  <c r="C259" i="52"/>
  <c r="G259" i="52" s="1"/>
  <c r="E274" i="52" s="1"/>
  <c r="C268" i="52"/>
  <c r="C263" i="52"/>
  <c r="F262" i="52" s="1"/>
  <c r="C265" i="52"/>
  <c r="G84" i="52"/>
  <c r="G85" i="52"/>
  <c r="C100" i="52"/>
  <c r="V118" i="48" s="1"/>
  <c r="C101" i="52"/>
  <c r="V121" i="48" s="1"/>
  <c r="AA443" i="48"/>
  <c r="AA444" i="48"/>
  <c r="AA445" i="48"/>
  <c r="AA446" i="48"/>
  <c r="AA447" i="48"/>
  <c r="AA442" i="48"/>
  <c r="AA458" i="48"/>
  <c r="AA459" i="48"/>
  <c r="AA460" i="48"/>
  <c r="AA461" i="48"/>
  <c r="AA457" i="48" s="1"/>
  <c r="AA462" i="48"/>
  <c r="AA479" i="48"/>
  <c r="AA480" i="48"/>
  <c r="AA481" i="48"/>
  <c r="AA482" i="48"/>
  <c r="AA483" i="48"/>
  <c r="AA478" i="48"/>
  <c r="AA500" i="48"/>
  <c r="AA501" i="48"/>
  <c r="AA502" i="48"/>
  <c r="AA503" i="48"/>
  <c r="AA499" i="48" s="1"/>
  <c r="AA504" i="48"/>
  <c r="AA515" i="48"/>
  <c r="AA516" i="48"/>
  <c r="AA517" i="48"/>
  <c r="AA518" i="48"/>
  <c r="AA519" i="48"/>
  <c r="AA514" i="48"/>
  <c r="Y48" i="47"/>
  <c r="Y49" i="47"/>
  <c r="C563" i="48" s="1"/>
  <c r="Z48" i="47"/>
  <c r="Z49" i="47"/>
  <c r="C564" i="48" s="1"/>
  <c r="AA48" i="47"/>
  <c r="AA49" i="47"/>
  <c r="C565" i="48" s="1"/>
  <c r="C253" i="52"/>
  <c r="C278" i="52"/>
  <c r="C228" i="52"/>
  <c r="C203" i="52"/>
  <c r="U283" i="48" s="1"/>
  <c r="C256" i="52"/>
  <c r="C231" i="52"/>
  <c r="C206" i="52"/>
  <c r="Z443" i="48"/>
  <c r="Z444" i="48"/>
  <c r="Z445" i="48"/>
  <c r="Z442" i="48" s="1"/>
  <c r="Z446" i="48"/>
  <c r="Z447" i="48"/>
  <c r="Z458" i="48"/>
  <c r="Z457" i="48" s="1"/>
  <c r="Z459" i="48"/>
  <c r="Z460" i="48"/>
  <c r="Z461" i="48"/>
  <c r="Z462" i="48"/>
  <c r="Z479" i="48"/>
  <c r="Z480" i="48"/>
  <c r="Z481" i="48"/>
  <c r="Z478" i="48" s="1"/>
  <c r="Z482" i="48"/>
  <c r="Z483" i="48"/>
  <c r="Z500" i="48"/>
  <c r="Z499" i="48" s="1"/>
  <c r="Z501" i="48"/>
  <c r="Z502" i="48"/>
  <c r="Z503" i="48"/>
  <c r="Z504" i="48"/>
  <c r="Z515" i="48"/>
  <c r="Z516" i="48"/>
  <c r="Z517" i="48"/>
  <c r="Z514" i="48" s="1"/>
  <c r="Z518" i="48"/>
  <c r="Z519" i="48"/>
  <c r="Y443" i="48"/>
  <c r="Y444" i="48"/>
  <c r="Y445" i="48"/>
  <c r="Y442" i="48" s="1"/>
  <c r="Y446" i="48"/>
  <c r="Y447" i="48"/>
  <c r="Y458" i="48"/>
  <c r="Y457" i="48" s="1"/>
  <c r="Y459" i="48"/>
  <c r="Y460" i="48"/>
  <c r="Y461" i="48"/>
  <c r="Y462" i="48"/>
  <c r="Y479" i="48"/>
  <c r="Y480" i="48"/>
  <c r="Y481" i="48"/>
  <c r="Y478" i="48" s="1"/>
  <c r="Y482" i="48"/>
  <c r="Y483" i="48"/>
  <c r="Y500" i="48"/>
  <c r="Y499" i="48" s="1"/>
  <c r="Y501" i="48"/>
  <c r="Y502" i="48"/>
  <c r="Y503" i="48"/>
  <c r="Y504" i="48"/>
  <c r="Y515" i="48"/>
  <c r="Y516" i="48"/>
  <c r="Y517" i="48"/>
  <c r="Y514" i="48" s="1"/>
  <c r="Y518" i="48"/>
  <c r="Y519" i="48"/>
  <c r="X443" i="48"/>
  <c r="X444" i="48"/>
  <c r="X445" i="48"/>
  <c r="X442" i="48" s="1"/>
  <c r="X446" i="48"/>
  <c r="X447" i="48"/>
  <c r="X458" i="48"/>
  <c r="X457" i="48" s="1"/>
  <c r="X459" i="48"/>
  <c r="X460" i="48"/>
  <c r="X461" i="48"/>
  <c r="X462" i="48"/>
  <c r="X479" i="48"/>
  <c r="X480" i="48"/>
  <c r="X481" i="48"/>
  <c r="X478" i="48" s="1"/>
  <c r="X482" i="48"/>
  <c r="X483" i="48"/>
  <c r="X500" i="48"/>
  <c r="X499" i="48" s="1"/>
  <c r="X501" i="48"/>
  <c r="X502" i="48"/>
  <c r="X503" i="48"/>
  <c r="X504" i="48"/>
  <c r="X515" i="48"/>
  <c r="X516" i="48"/>
  <c r="X517" i="48"/>
  <c r="X514" i="48" s="1"/>
  <c r="X518" i="48"/>
  <c r="X519" i="48"/>
  <c r="C103" i="52"/>
  <c r="V123" i="48" s="1"/>
  <c r="C31" i="52"/>
  <c r="C56" i="52"/>
  <c r="E99" i="52"/>
  <c r="E100" i="52"/>
  <c r="F100" i="52"/>
  <c r="E101" i="52"/>
  <c r="F101" i="52"/>
  <c r="C88" i="52"/>
  <c r="C89" i="52"/>
  <c r="C90" i="52"/>
  <c r="F87" i="52"/>
  <c r="C106" i="52"/>
  <c r="C128" i="52"/>
  <c r="C81" i="52"/>
  <c r="C78" i="52"/>
  <c r="G443" i="48"/>
  <c r="G444" i="48"/>
  <c r="G445" i="48"/>
  <c r="G446" i="48"/>
  <c r="G442" i="48" s="1"/>
  <c r="G458" i="48"/>
  <c r="G459" i="48"/>
  <c r="G460" i="48"/>
  <c r="G457" i="48" s="1"/>
  <c r="G461" i="48"/>
  <c r="G479" i="48"/>
  <c r="G480" i="48"/>
  <c r="G478" i="48" s="1"/>
  <c r="G481" i="48"/>
  <c r="G482" i="48"/>
  <c r="G500" i="48"/>
  <c r="G501" i="48"/>
  <c r="G502" i="48"/>
  <c r="G503" i="48"/>
  <c r="G499" i="48"/>
  <c r="G515" i="48"/>
  <c r="G516" i="48"/>
  <c r="G517" i="48"/>
  <c r="G518" i="48"/>
  <c r="G514" i="48" s="1"/>
  <c r="G641" i="48"/>
  <c r="G577" i="48" s="1"/>
  <c r="G646" i="48"/>
  <c r="G582" i="48" s="1"/>
  <c r="K170" i="56"/>
  <c r="AD207" i="45"/>
  <c r="AC207" i="45"/>
  <c r="AB207" i="45"/>
  <c r="AB211" i="45" s="1"/>
  <c r="X171" i="56"/>
  <c r="AA207" i="45" s="1"/>
  <c r="AA211" i="45" s="1"/>
  <c r="K171" i="56"/>
  <c r="N207" i="45"/>
  <c r="N211" i="45" s="1"/>
  <c r="J171" i="56"/>
  <c r="M207" i="45" s="1"/>
  <c r="M211" i="45" s="1"/>
  <c r="I170" i="56"/>
  <c r="G165" i="56"/>
  <c r="G171" i="56" s="1"/>
  <c r="H171" i="56" s="1"/>
  <c r="G166" i="56"/>
  <c r="F171" i="56"/>
  <c r="H170" i="56"/>
  <c r="H167" i="56"/>
  <c r="H169" i="56"/>
  <c r="H168" i="56"/>
  <c r="U631" i="48"/>
  <c r="T631" i="48"/>
  <c r="S631" i="48"/>
  <c r="AA140" i="56"/>
  <c r="AA139" i="56"/>
  <c r="X140" i="56"/>
  <c r="X139" i="56"/>
  <c r="U139" i="56"/>
  <c r="U140" i="56"/>
  <c r="R140" i="56"/>
  <c r="R139" i="56"/>
  <c r="Q138" i="56"/>
  <c r="S138" i="56" s="1"/>
  <c r="Q139" i="56" s="1"/>
  <c r="J141" i="56"/>
  <c r="M139" i="56"/>
  <c r="K139" i="56"/>
  <c r="L138" i="56"/>
  <c r="J138" i="56"/>
  <c r="W188" i="56"/>
  <c r="U181" i="56"/>
  <c r="R185" i="56"/>
  <c r="R184" i="56"/>
  <c r="R186" i="56"/>
  <c r="R183" i="56"/>
  <c r="R182" i="56"/>
  <c r="R181" i="56"/>
  <c r="P186" i="56"/>
  <c r="P185" i="56"/>
  <c r="P184" i="56"/>
  <c r="P183" i="56"/>
  <c r="P182" i="56"/>
  <c r="P181" i="56"/>
  <c r="P180" i="56"/>
  <c r="O180" i="56"/>
  <c r="Q180" i="56" s="1"/>
  <c r="M192" i="56"/>
  <c r="K192" i="56"/>
  <c r="I192" i="56"/>
  <c r="H192" i="56"/>
  <c r="G192" i="56"/>
  <c r="F192" i="56"/>
  <c r="L189" i="56"/>
  <c r="L188" i="56"/>
  <c r="L187" i="56"/>
  <c r="L186" i="56"/>
  <c r="L185" i="56"/>
  <c r="L184" i="56"/>
  <c r="L183" i="56"/>
  <c r="L182" i="56"/>
  <c r="L181" i="56"/>
  <c r="L180" i="56"/>
  <c r="N189" i="56"/>
  <c r="N188" i="56"/>
  <c r="N187" i="56"/>
  <c r="N186" i="56"/>
  <c r="N185" i="56"/>
  <c r="N184" i="56"/>
  <c r="N183" i="56"/>
  <c r="N182" i="56"/>
  <c r="N181" i="56"/>
  <c r="G570" i="48"/>
  <c r="L139" i="56"/>
  <c r="L140" i="56" s="1"/>
  <c r="D162" i="56"/>
  <c r="D161" i="56"/>
  <c r="D160" i="56"/>
  <c r="E153" i="56"/>
  <c r="E152" i="56"/>
  <c r="E151" i="56"/>
  <c r="E150" i="56"/>
  <c r="E149" i="56"/>
  <c r="E148" i="56"/>
  <c r="E145" i="56"/>
  <c r="AC54" i="45"/>
  <c r="U92" i="45"/>
  <c r="X93" i="45"/>
  <c r="H56" i="45"/>
  <c r="B218" i="45"/>
  <c r="B228" i="45"/>
  <c r="D214" i="45"/>
  <c r="E214" i="45"/>
  <c r="F214" i="45"/>
  <c r="G214" i="45"/>
  <c r="H214" i="45"/>
  <c r="I214" i="45"/>
  <c r="J214" i="45"/>
  <c r="K214" i="45"/>
  <c r="L214" i="45"/>
  <c r="M214" i="45"/>
  <c r="N214" i="45"/>
  <c r="O214" i="45"/>
  <c r="P214" i="45"/>
  <c r="Q214" i="45"/>
  <c r="R214" i="45"/>
  <c r="S214" i="45"/>
  <c r="T214" i="45"/>
  <c r="U214" i="45"/>
  <c r="V214" i="45"/>
  <c r="W214" i="45"/>
  <c r="C214" i="45"/>
  <c r="D215" i="45"/>
  <c r="E215" i="45"/>
  <c r="F215" i="45"/>
  <c r="G215" i="45"/>
  <c r="H215" i="45"/>
  <c r="I215" i="45"/>
  <c r="D216" i="45"/>
  <c r="E216" i="45"/>
  <c r="F216" i="45"/>
  <c r="G216" i="45"/>
  <c r="H216" i="45"/>
  <c r="I216" i="45"/>
  <c r="D217" i="45"/>
  <c r="E217" i="45"/>
  <c r="F217" i="45"/>
  <c r="G217" i="45"/>
  <c r="H217" i="45"/>
  <c r="I217" i="45"/>
  <c r="J21" i="45"/>
  <c r="K21" i="45"/>
  <c r="D218" i="45"/>
  <c r="E218" i="45"/>
  <c r="F218" i="45"/>
  <c r="G218" i="45"/>
  <c r="H218" i="45"/>
  <c r="I218" i="45"/>
  <c r="D219" i="45"/>
  <c r="E219" i="45"/>
  <c r="F219" i="45"/>
  <c r="G219" i="45"/>
  <c r="H219" i="45"/>
  <c r="I219" i="45"/>
  <c r="D220" i="45"/>
  <c r="E220" i="45"/>
  <c r="F220" i="45"/>
  <c r="G220" i="45"/>
  <c r="H220" i="45"/>
  <c r="I220" i="45"/>
  <c r="D221" i="45"/>
  <c r="E221" i="45"/>
  <c r="F221" i="45"/>
  <c r="G221" i="45"/>
  <c r="H221" i="45"/>
  <c r="I221" i="45"/>
  <c r="C221" i="45"/>
  <c r="C220" i="45"/>
  <c r="C219" i="45"/>
  <c r="C218" i="45"/>
  <c r="C217" i="45"/>
  <c r="C216" i="45"/>
  <c r="C215" i="45"/>
  <c r="B221" i="45"/>
  <c r="B231" i="45" s="1"/>
  <c r="B219" i="45"/>
  <c r="B229" i="45" s="1"/>
  <c r="B215" i="45"/>
  <c r="B225" i="45" s="1"/>
  <c r="B217" i="45"/>
  <c r="B227" i="45" s="1"/>
  <c r="B220" i="45"/>
  <c r="B230" i="45" s="1"/>
  <c r="B216" i="45"/>
  <c r="B226" i="45" s="1"/>
  <c r="S209" i="45"/>
  <c r="T209" i="45"/>
  <c r="U209" i="45"/>
  <c r="V209" i="45"/>
  <c r="W209" i="45"/>
  <c r="E154" i="56"/>
  <c r="R209" i="45"/>
  <c r="Q209" i="45"/>
  <c r="P209" i="45"/>
  <c r="O209" i="45"/>
  <c r="N209" i="45"/>
  <c r="M209" i="45"/>
  <c r="L209" i="45"/>
  <c r="B212" i="45"/>
  <c r="B210" i="45"/>
  <c r="AD203" i="45"/>
  <c r="V203" i="45"/>
  <c r="T203" i="45"/>
  <c r="B205" i="45"/>
  <c r="B202" i="45"/>
  <c r="H130" i="56"/>
  <c r="E112" i="56"/>
  <c r="M130" i="56"/>
  <c r="M129" i="56"/>
  <c r="M128" i="56"/>
  <c r="L130" i="56"/>
  <c r="L129" i="56"/>
  <c r="L128" i="56"/>
  <c r="M120" i="56"/>
  <c r="M121" i="56"/>
  <c r="M118" i="56"/>
  <c r="M117" i="56"/>
  <c r="E103" i="56"/>
  <c r="E104" i="56"/>
  <c r="E105" i="56"/>
  <c r="E106" i="56"/>
  <c r="E107" i="56"/>
  <c r="E108" i="56"/>
  <c r="E109" i="56"/>
  <c r="E110" i="56"/>
  <c r="E111" i="56"/>
  <c r="E114" i="56"/>
  <c r="G36" i="56"/>
  <c r="C82" i="47"/>
  <c r="AA5" i="50"/>
  <c r="AA107" i="50" s="1"/>
  <c r="R35" i="46"/>
  <c r="S35" i="46" s="1"/>
  <c r="P34" i="46"/>
  <c r="Q34" i="46" s="1"/>
  <c r="R34" i="46" s="1"/>
  <c r="S34" i="46" s="1"/>
  <c r="Q18" i="51"/>
  <c r="R18" i="51"/>
  <c r="R15" i="51" s="1"/>
  <c r="S18" i="51"/>
  <c r="T18" i="51"/>
  <c r="T15" i="51" s="1"/>
  <c r="U18" i="51"/>
  <c r="V18" i="51"/>
  <c r="V15" i="51"/>
  <c r="W18" i="51"/>
  <c r="X18" i="51"/>
  <c r="Y18" i="51"/>
  <c r="Y15" i="51"/>
  <c r="Q38" i="51"/>
  <c r="Q39" i="51"/>
  <c r="R38" i="51"/>
  <c r="S38" i="51"/>
  <c r="T38" i="51"/>
  <c r="T39" i="51"/>
  <c r="U38" i="51"/>
  <c r="V38" i="51"/>
  <c r="V39" i="51" s="1"/>
  <c r="V35" i="51" s="1"/>
  <c r="W38" i="51"/>
  <c r="W39" i="51"/>
  <c r="X38" i="51"/>
  <c r="X39" i="51"/>
  <c r="Y38" i="51"/>
  <c r="Y39" i="51"/>
  <c r="P9" i="51"/>
  <c r="Q9" i="51"/>
  <c r="R6" i="51" s="1"/>
  <c r="R9" i="51"/>
  <c r="S6" i="51" s="1"/>
  <c r="S9" i="51"/>
  <c r="T9" i="51"/>
  <c r="U9" i="51"/>
  <c r="V9" i="51"/>
  <c r="W9" i="51"/>
  <c r="X9" i="51"/>
  <c r="Y6" i="51"/>
  <c r="Y9" i="51"/>
  <c r="D10" i="51"/>
  <c r="Q24" i="51"/>
  <c r="R24" i="51"/>
  <c r="R21" i="51" s="1"/>
  <c r="S24" i="51"/>
  <c r="S25" i="51"/>
  <c r="T24" i="51"/>
  <c r="U24" i="51"/>
  <c r="U25" i="51" s="1"/>
  <c r="V24" i="51"/>
  <c r="W24" i="51"/>
  <c r="W25" i="51"/>
  <c r="X24" i="51"/>
  <c r="X25" i="51"/>
  <c r="Y24" i="51"/>
  <c r="Y21" i="51" s="1"/>
  <c r="Y25" i="51"/>
  <c r="R25" i="51"/>
  <c r="Q31" i="51"/>
  <c r="Q32" i="51" s="1"/>
  <c r="R31" i="51"/>
  <c r="R32" i="51" s="1"/>
  <c r="S31" i="51"/>
  <c r="T31" i="51"/>
  <c r="T32" i="51"/>
  <c r="T28" i="51" s="1"/>
  <c r="U31" i="51"/>
  <c r="U32" i="51" s="1"/>
  <c r="U28" i="51" s="1"/>
  <c r="V31" i="51"/>
  <c r="W31" i="51"/>
  <c r="W32" i="51" s="1"/>
  <c r="W28" i="51" s="1"/>
  <c r="X31" i="51"/>
  <c r="X32" i="51"/>
  <c r="Y31" i="51"/>
  <c r="V32" i="51"/>
  <c r="Q45" i="51"/>
  <c r="Q46" i="51" s="1"/>
  <c r="R45" i="51"/>
  <c r="R46" i="51" s="1"/>
  <c r="R42" i="51" s="1"/>
  <c r="S45" i="51"/>
  <c r="T45" i="51"/>
  <c r="T46" i="51" s="1"/>
  <c r="U45" i="51"/>
  <c r="U46" i="51" s="1"/>
  <c r="V45" i="51"/>
  <c r="V46" i="51"/>
  <c r="W45" i="51"/>
  <c r="W42" i="51" s="1"/>
  <c r="W46" i="51"/>
  <c r="X45" i="51"/>
  <c r="Y45" i="51"/>
  <c r="Y42" i="51" s="1"/>
  <c r="Y46" i="51"/>
  <c r="S46" i="51"/>
  <c r="S42" i="51" s="1"/>
  <c r="M147" i="56"/>
  <c r="P59" i="47"/>
  <c r="Q59" i="47" s="1"/>
  <c r="R59" i="47" s="1"/>
  <c r="S59" i="47" s="1"/>
  <c r="T59" i="47" s="1"/>
  <c r="U59" i="47" s="1"/>
  <c r="V59" i="47" s="1"/>
  <c r="W59" i="47" s="1"/>
  <c r="X59" i="47" s="1"/>
  <c r="Y59" i="47" s="1"/>
  <c r="Z59" i="47" s="1"/>
  <c r="AA59" i="47" s="1"/>
  <c r="AB59" i="47" s="1"/>
  <c r="AC59" i="47" s="1"/>
  <c r="AD59" i="47" s="1"/>
  <c r="AE59" i="47" s="1"/>
  <c r="AF59" i="47" s="1"/>
  <c r="AG59" i="47" s="1"/>
  <c r="R302" i="48"/>
  <c r="AA52" i="51"/>
  <c r="AA53" i="51"/>
  <c r="AA49" i="51" s="1"/>
  <c r="Z52" i="51"/>
  <c r="Y52" i="51"/>
  <c r="Y53" i="51"/>
  <c r="Y49" i="51" s="1"/>
  <c r="X52" i="51"/>
  <c r="X53" i="51" s="1"/>
  <c r="X49" i="51" s="1"/>
  <c r="W52" i="51"/>
  <c r="W53" i="51"/>
  <c r="V52" i="51"/>
  <c r="U52" i="51"/>
  <c r="U53" i="51" s="1"/>
  <c r="T52" i="51"/>
  <c r="T53" i="51" s="1"/>
  <c r="T49" i="51" s="1"/>
  <c r="S52" i="51"/>
  <c r="S49" i="51" s="1"/>
  <c r="S53" i="51"/>
  <c r="R52" i="51"/>
  <c r="R53" i="51" s="1"/>
  <c r="Q52" i="51"/>
  <c r="W35" i="51"/>
  <c r="X35" i="51"/>
  <c r="Y35" i="51"/>
  <c r="S21" i="51"/>
  <c r="W21" i="51"/>
  <c r="X21" i="51"/>
  <c r="T6" i="51"/>
  <c r="U6" i="51"/>
  <c r="V6" i="51"/>
  <c r="W6" i="51"/>
  <c r="X6" i="51"/>
  <c r="V28" i="51"/>
  <c r="Q15" i="51"/>
  <c r="S15" i="51"/>
  <c r="U15" i="51"/>
  <c r="W15" i="51"/>
  <c r="X15" i="51"/>
  <c r="V42" i="51"/>
  <c r="G92" i="50"/>
  <c r="G93" i="50" s="1"/>
  <c r="X48" i="47"/>
  <c r="X49" i="47" s="1"/>
  <c r="C562" i="48" s="1"/>
  <c r="D64" i="1"/>
  <c r="C70" i="47" s="1"/>
  <c r="M32" i="56"/>
  <c r="G56" i="47"/>
  <c r="C46" i="1"/>
  <c r="C53" i="1" s="1"/>
  <c r="H56" i="47"/>
  <c r="I56" i="47"/>
  <c r="J56" i="47"/>
  <c r="K56" i="47"/>
  <c r="L56" i="47"/>
  <c r="M56" i="47"/>
  <c r="N56" i="47"/>
  <c r="O56" i="47"/>
  <c r="P56" i="47"/>
  <c r="Q56" i="47"/>
  <c r="R56" i="47"/>
  <c r="S56" i="47"/>
  <c r="T56" i="47"/>
  <c r="U56" i="47"/>
  <c r="M127" i="56"/>
  <c r="V56" i="47"/>
  <c r="I12" i="47"/>
  <c r="J12" i="47"/>
  <c r="K12" i="47" s="1"/>
  <c r="L12" i="47" s="1"/>
  <c r="M12" i="47" s="1"/>
  <c r="N12" i="47" s="1"/>
  <c r="O12" i="47" s="1"/>
  <c r="P12" i="47" s="1"/>
  <c r="Q12" i="47" s="1"/>
  <c r="R12" i="47" s="1"/>
  <c r="S12" i="47" s="1"/>
  <c r="T12" i="47" s="1"/>
  <c r="U12" i="47" s="1"/>
  <c r="V12" i="47" s="1"/>
  <c r="W12" i="47" s="1"/>
  <c r="X12" i="47" s="1"/>
  <c r="Y12" i="47" s="1"/>
  <c r="Z12" i="47" s="1"/>
  <c r="AA12" i="47" s="1"/>
  <c r="AB12" i="47" s="1"/>
  <c r="AC12" i="47" s="1"/>
  <c r="AD12" i="47" s="1"/>
  <c r="L219" i="45"/>
  <c r="L7" i="45"/>
  <c r="K16" i="45"/>
  <c r="K220" i="45"/>
  <c r="K7" i="45"/>
  <c r="K10" i="45"/>
  <c r="K13" i="45"/>
  <c r="K219" i="45"/>
  <c r="G265" i="48"/>
  <c r="H265" i="48"/>
  <c r="G10" i="48"/>
  <c r="G201" i="52"/>
  <c r="C113" i="52"/>
  <c r="F112" i="52" s="1"/>
  <c r="C114" i="52"/>
  <c r="C115" i="52"/>
  <c r="C143" i="52"/>
  <c r="G136" i="52" s="1"/>
  <c r="C141" i="52"/>
  <c r="E151" i="52" s="1"/>
  <c r="C168" i="52"/>
  <c r="C177" i="52" s="1"/>
  <c r="C166" i="52"/>
  <c r="C176" i="52" s="1"/>
  <c r="C161" i="52"/>
  <c r="G161" i="52" s="1"/>
  <c r="C164" i="52" s="1"/>
  <c r="F162" i="52" s="1"/>
  <c r="G522" i="48"/>
  <c r="G523" i="48"/>
  <c r="G524" i="48"/>
  <c r="G525" i="48"/>
  <c r="G529" i="48"/>
  <c r="G530" i="48"/>
  <c r="G531" i="48"/>
  <c r="G532" i="48"/>
  <c r="I7" i="49"/>
  <c r="L7" i="49" s="1"/>
  <c r="M7" i="49" s="1"/>
  <c r="M13" i="49"/>
  <c r="H23" i="49"/>
  <c r="M23" i="49" s="1"/>
  <c r="H35" i="49"/>
  <c r="M35" i="49"/>
  <c r="H6" i="47"/>
  <c r="E62" i="81" s="1"/>
  <c r="H6" i="49"/>
  <c r="I6" i="49"/>
  <c r="L6" i="49" s="1"/>
  <c r="M6" i="49" s="1"/>
  <c r="I33" i="48"/>
  <c r="I500" i="48" s="1"/>
  <c r="AC20" i="46"/>
  <c r="AD20" i="46" s="1"/>
  <c r="AE20" i="46" s="1"/>
  <c r="AF20" i="46" s="1"/>
  <c r="C131" i="52"/>
  <c r="C156" i="52"/>
  <c r="C28" i="52"/>
  <c r="C53" i="52"/>
  <c r="H11" i="49"/>
  <c r="I11" i="49" s="1"/>
  <c r="L11" i="49" s="1"/>
  <c r="M11" i="49" s="1"/>
  <c r="H12" i="49"/>
  <c r="I12" i="49" s="1"/>
  <c r="L12" i="49" s="1"/>
  <c r="M12" i="49" s="1"/>
  <c r="H34" i="49"/>
  <c r="M34" i="49" s="1"/>
  <c r="H25" i="49"/>
  <c r="L25" i="49"/>
  <c r="Q16" i="45"/>
  <c r="Q220" i="45" s="1"/>
  <c r="R16" i="45"/>
  <c r="R220" i="45"/>
  <c r="S16" i="45"/>
  <c r="S220" i="45" s="1"/>
  <c r="T16" i="45"/>
  <c r="T220" i="45"/>
  <c r="U16" i="45"/>
  <c r="U220" i="45" s="1"/>
  <c r="V16" i="45"/>
  <c r="V220" i="45"/>
  <c r="R5" i="47"/>
  <c r="W16" i="45"/>
  <c r="W220" i="45"/>
  <c r="X16" i="45"/>
  <c r="Y16" i="45"/>
  <c r="Z16" i="45"/>
  <c r="AA16" i="45"/>
  <c r="AA91" i="45"/>
  <c r="W56" i="47"/>
  <c r="AB16" i="45"/>
  <c r="X56" i="47"/>
  <c r="X5" i="47"/>
  <c r="AC16" i="46"/>
  <c r="AC16" i="45" s="1"/>
  <c r="X115" i="48"/>
  <c r="X123" i="48"/>
  <c r="X211" i="48"/>
  <c r="X243" i="48"/>
  <c r="X275" i="48"/>
  <c r="X283" i="48"/>
  <c r="X307" i="48"/>
  <c r="X436" i="48"/>
  <c r="AC29" i="45"/>
  <c r="X522" i="48"/>
  <c r="X523" i="48"/>
  <c r="X524" i="48"/>
  <c r="X525" i="48"/>
  <c r="X526" i="48"/>
  <c r="X529" i="48"/>
  <c r="X530" i="48"/>
  <c r="X531" i="48"/>
  <c r="X532" i="48"/>
  <c r="X533" i="48"/>
  <c r="X4" i="48"/>
  <c r="AH5" i="49"/>
  <c r="X56" i="50"/>
  <c r="X59" i="50" s="1"/>
  <c r="X130" i="50" s="1"/>
  <c r="Y56" i="47"/>
  <c r="AD16" i="46"/>
  <c r="AD16" i="45" s="1"/>
  <c r="Y115" i="48"/>
  <c r="Y211" i="48"/>
  <c r="Y243" i="48"/>
  <c r="Y275" i="48"/>
  <c r="Y281" i="48"/>
  <c r="Y307" i="48"/>
  <c r="Y436" i="48"/>
  <c r="AD66" i="45"/>
  <c r="Y522" i="48"/>
  <c r="Y523" i="48"/>
  <c r="Y524" i="48"/>
  <c r="Y525" i="48"/>
  <c r="Y526" i="48"/>
  <c r="Y529" i="48"/>
  <c r="Y530" i="48"/>
  <c r="Y531" i="48"/>
  <c r="Y532" i="48"/>
  <c r="Y533" i="48"/>
  <c r="Y4" i="48"/>
  <c r="AI5" i="49"/>
  <c r="Z56" i="47"/>
  <c r="AE16" i="46"/>
  <c r="AE16" i="45" s="1"/>
  <c r="Z115" i="48"/>
  <c r="Z121" i="48"/>
  <c r="Z211" i="48"/>
  <c r="Z243" i="48"/>
  <c r="Z275" i="48"/>
  <c r="Z283" i="48"/>
  <c r="Z307" i="48"/>
  <c r="Z436" i="48"/>
  <c r="AE29" i="45"/>
  <c r="Z522" i="48"/>
  <c r="Z523" i="48"/>
  <c r="Z524" i="48"/>
  <c r="Z525" i="48"/>
  <c r="Z526" i="48"/>
  <c r="Z529" i="48"/>
  <c r="Z530" i="48"/>
  <c r="Z531" i="48"/>
  <c r="Z532" i="48"/>
  <c r="Z533" i="48"/>
  <c r="Z4" i="48"/>
  <c r="AJ5" i="49"/>
  <c r="AJ7" i="49"/>
  <c r="Z6" i="51"/>
  <c r="Z18" i="51"/>
  <c r="Z15" i="51"/>
  <c r="Z24" i="51"/>
  <c r="Z31" i="51"/>
  <c r="Z38" i="51"/>
  <c r="Z39" i="51"/>
  <c r="Z45" i="51"/>
  <c r="Z46" i="51" s="1"/>
  <c r="AA56" i="47"/>
  <c r="AF16" i="46"/>
  <c r="AF16" i="45" s="1"/>
  <c r="AA115" i="48"/>
  <c r="AA211" i="48"/>
  <c r="AA243" i="48"/>
  <c r="AA275" i="48"/>
  <c r="AA283" i="48"/>
  <c r="AA307" i="48"/>
  <c r="AA436" i="48"/>
  <c r="AF29" i="45"/>
  <c r="AE66" i="45"/>
  <c r="Z123" i="48"/>
  <c r="AA522" i="48"/>
  <c r="AA526" i="48"/>
  <c r="AA523" i="48"/>
  <c r="AA524" i="48"/>
  <c r="AA525" i="48"/>
  <c r="AA529" i="48"/>
  <c r="AA530" i="48"/>
  <c r="AA531" i="48"/>
  <c r="AA532" i="48"/>
  <c r="AA533" i="48"/>
  <c r="AA4" i="48"/>
  <c r="AK5" i="49"/>
  <c r="Z9" i="51"/>
  <c r="AA6" i="51"/>
  <c r="AA18" i="51"/>
  <c r="AA15" i="51"/>
  <c r="AA24" i="51"/>
  <c r="AA25" i="51"/>
  <c r="AA21" i="51"/>
  <c r="AA31" i="51"/>
  <c r="AA32" i="51" s="1"/>
  <c r="AA38" i="51"/>
  <c r="AA35" i="51" s="1"/>
  <c r="AA39" i="51"/>
  <c r="AA45" i="51"/>
  <c r="F41" i="50"/>
  <c r="E41" i="50"/>
  <c r="E42" i="50" s="1"/>
  <c r="F42" i="50" s="1"/>
  <c r="E44" i="50"/>
  <c r="E45" i="50" s="1"/>
  <c r="E59" i="50"/>
  <c r="E60" i="50"/>
  <c r="F44" i="50"/>
  <c r="F59" i="50"/>
  <c r="F60" i="50"/>
  <c r="F14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J3" i="1"/>
  <c r="I3" i="1"/>
  <c r="H3" i="1"/>
  <c r="G3" i="1"/>
  <c r="F3" i="1"/>
  <c r="C10" i="1"/>
  <c r="C7" i="1"/>
  <c r="C5" i="1"/>
  <c r="C4" i="1"/>
  <c r="B10" i="1"/>
  <c r="B9" i="1"/>
  <c r="B8" i="1"/>
  <c r="B7" i="1"/>
  <c r="B6" i="1"/>
  <c r="B5" i="1"/>
  <c r="B4" i="1"/>
  <c r="C49" i="1"/>
  <c r="C56" i="1"/>
  <c r="C63" i="1"/>
  <c r="C48" i="1"/>
  <c r="C55" i="1" s="1"/>
  <c r="C62" i="1" s="1"/>
  <c r="C47" i="1"/>
  <c r="C54" i="1" s="1"/>
  <c r="C61" i="1" s="1"/>
  <c r="C45" i="1"/>
  <c r="C52" i="1"/>
  <c r="C59" i="1" s="1"/>
  <c r="C44" i="1"/>
  <c r="C51" i="1"/>
  <c r="C58" i="1"/>
  <c r="C43" i="1"/>
  <c r="C50" i="1" s="1"/>
  <c r="C57" i="1" s="1"/>
  <c r="S302" i="48"/>
  <c r="S326" i="48" s="1"/>
  <c r="I61" i="47"/>
  <c r="G61" i="47"/>
  <c r="G334" i="52"/>
  <c r="C349" i="52"/>
  <c r="G309" i="52"/>
  <c r="C324" i="52"/>
  <c r="G284" i="52"/>
  <c r="C299" i="52"/>
  <c r="D15" i="56"/>
  <c r="D16" i="56"/>
  <c r="D17" i="56"/>
  <c r="I17" i="56"/>
  <c r="J17" i="56" s="1"/>
  <c r="G18" i="56"/>
  <c r="J18" i="56" s="1"/>
  <c r="I14" i="56"/>
  <c r="J14" i="56" s="1"/>
  <c r="C24" i="56"/>
  <c r="G14" i="56"/>
  <c r="E16" i="56"/>
  <c r="G16" i="56" s="1"/>
  <c r="E17" i="56"/>
  <c r="B19" i="56"/>
  <c r="A19" i="56"/>
  <c r="A18" i="56"/>
  <c r="A17" i="56"/>
  <c r="A16" i="56"/>
  <c r="B596" i="48"/>
  <c r="X542" i="48"/>
  <c r="Y542" i="48"/>
  <c r="Z542" i="48"/>
  <c r="AA542" i="48"/>
  <c r="B526" i="48"/>
  <c r="B542" i="48"/>
  <c r="K194" i="45"/>
  <c r="J28" i="45"/>
  <c r="J7" i="46"/>
  <c r="F12" i="56"/>
  <c r="G12" i="56" s="1"/>
  <c r="H12" i="56" s="1"/>
  <c r="I12" i="56" s="1"/>
  <c r="K215" i="45"/>
  <c r="K217" i="45"/>
  <c r="K221" i="45"/>
  <c r="J25" i="45"/>
  <c r="J215" i="45"/>
  <c r="J31" i="45"/>
  <c r="J34" i="45"/>
  <c r="J37" i="45"/>
  <c r="J221" i="45"/>
  <c r="J10" i="46"/>
  <c r="J218" i="45"/>
  <c r="J13" i="46"/>
  <c r="J219" i="45"/>
  <c r="J16" i="46"/>
  <c r="J220" i="45"/>
  <c r="F7" i="56"/>
  <c r="F8" i="56"/>
  <c r="F9" i="56" s="1"/>
  <c r="G33" i="49"/>
  <c r="H33" i="49" s="1"/>
  <c r="B127" i="50"/>
  <c r="B126" i="50"/>
  <c r="D52" i="51"/>
  <c r="AG56" i="47"/>
  <c r="AF56" i="47"/>
  <c r="AE56" i="47"/>
  <c r="AD56" i="47"/>
  <c r="AC56" i="47"/>
  <c r="AB56" i="47"/>
  <c r="AA3" i="48"/>
  <c r="Z3" i="48"/>
  <c r="Y3" i="48"/>
  <c r="X3" i="48"/>
  <c r="W3" i="48"/>
  <c r="V3" i="48"/>
  <c r="U3" i="48"/>
  <c r="T3" i="48"/>
  <c r="S3" i="48"/>
  <c r="R3" i="48"/>
  <c r="Q3" i="48"/>
  <c r="P3" i="48"/>
  <c r="O3" i="48"/>
  <c r="N3" i="48"/>
  <c r="M3" i="48"/>
  <c r="L3" i="48"/>
  <c r="K3" i="48"/>
  <c r="J3" i="48"/>
  <c r="I3" i="48"/>
  <c r="H3" i="48"/>
  <c r="G3" i="48"/>
  <c r="C7" i="56"/>
  <c r="C5" i="56"/>
  <c r="H15" i="49"/>
  <c r="I15" i="49" s="1"/>
  <c r="M15" i="49"/>
  <c r="B56" i="52"/>
  <c r="B81" i="52"/>
  <c r="B106" i="52" s="1"/>
  <c r="B131" i="52" s="1"/>
  <c r="B156" i="52" s="1"/>
  <c r="B181" i="52" s="1"/>
  <c r="B206" i="52" s="1"/>
  <c r="B231" i="52" s="1"/>
  <c r="B256" i="52" s="1"/>
  <c r="B281" i="52" s="1"/>
  <c r="B306" i="52" s="1"/>
  <c r="B331" i="52" s="1"/>
  <c r="B356" i="52" s="1"/>
  <c r="B55" i="52"/>
  <c r="B80" i="52" s="1"/>
  <c r="B105" i="52" s="1"/>
  <c r="B130" i="52" s="1"/>
  <c r="B155" i="52"/>
  <c r="B180" i="52" s="1"/>
  <c r="B205" i="52" s="1"/>
  <c r="B230" i="52" s="1"/>
  <c r="B255" i="52" s="1"/>
  <c r="B280" i="52" s="1"/>
  <c r="B305" i="52" s="1"/>
  <c r="B330" i="52" s="1"/>
  <c r="B355" i="52" s="1"/>
  <c r="B54" i="52"/>
  <c r="B79" i="52"/>
  <c r="B104" i="52" s="1"/>
  <c r="B129" i="52" s="1"/>
  <c r="B154" i="52" s="1"/>
  <c r="B179" i="52" s="1"/>
  <c r="B204" i="52" s="1"/>
  <c r="B229" i="52" s="1"/>
  <c r="B254" i="52" s="1"/>
  <c r="B279" i="52" s="1"/>
  <c r="B304" i="52" s="1"/>
  <c r="B329" i="52" s="1"/>
  <c r="B354" i="52" s="1"/>
  <c r="B53" i="52"/>
  <c r="B78" i="52" s="1"/>
  <c r="B103" i="52" s="1"/>
  <c r="B128" i="52" s="1"/>
  <c r="B153" i="52" s="1"/>
  <c r="B178" i="52" s="1"/>
  <c r="B203" i="52" s="1"/>
  <c r="B228" i="52" s="1"/>
  <c r="B253" i="52" s="1"/>
  <c r="B278" i="52" s="1"/>
  <c r="B303" i="52" s="1"/>
  <c r="B328" i="52" s="1"/>
  <c r="B353" i="52" s="1"/>
  <c r="B52" i="52"/>
  <c r="B77" i="52"/>
  <c r="B102" i="52" s="1"/>
  <c r="B127" i="52" s="1"/>
  <c r="B152" i="52" s="1"/>
  <c r="B177" i="52"/>
  <c r="B202" i="52" s="1"/>
  <c r="B227" i="52" s="1"/>
  <c r="B252" i="52" s="1"/>
  <c r="B277" i="52" s="1"/>
  <c r="B302" i="52" s="1"/>
  <c r="B327" i="52" s="1"/>
  <c r="B352" i="52" s="1"/>
  <c r="B51" i="52"/>
  <c r="B76" i="52" s="1"/>
  <c r="B101" i="52" s="1"/>
  <c r="B126" i="52" s="1"/>
  <c r="B151" i="52" s="1"/>
  <c r="B176" i="52" s="1"/>
  <c r="B201" i="52" s="1"/>
  <c r="B226" i="52" s="1"/>
  <c r="B251" i="52" s="1"/>
  <c r="B276" i="52" s="1"/>
  <c r="B301" i="52" s="1"/>
  <c r="B326" i="52" s="1"/>
  <c r="B351" i="52" s="1"/>
  <c r="B50" i="52"/>
  <c r="B75" i="52"/>
  <c r="B100" i="52" s="1"/>
  <c r="B125" i="52"/>
  <c r="B150" i="52" s="1"/>
  <c r="B175" i="52" s="1"/>
  <c r="B200" i="52" s="1"/>
  <c r="B225" i="52" s="1"/>
  <c r="B250" i="52" s="1"/>
  <c r="B275" i="52" s="1"/>
  <c r="B300" i="52" s="1"/>
  <c r="B325" i="52" s="1"/>
  <c r="B350" i="52" s="1"/>
  <c r="B49" i="52"/>
  <c r="B74" i="52" s="1"/>
  <c r="B99" i="52"/>
  <c r="B124" i="52" s="1"/>
  <c r="B149" i="52" s="1"/>
  <c r="B174" i="52" s="1"/>
  <c r="B199" i="52" s="1"/>
  <c r="B224" i="52" s="1"/>
  <c r="B249" i="52" s="1"/>
  <c r="B274" i="52" s="1"/>
  <c r="B299" i="52" s="1"/>
  <c r="B324" i="52" s="1"/>
  <c r="B349" i="52" s="1"/>
  <c r="B47" i="52"/>
  <c r="B72" i="52"/>
  <c r="B97" i="52" s="1"/>
  <c r="B122" i="52" s="1"/>
  <c r="B147" i="52" s="1"/>
  <c r="B172" i="52" s="1"/>
  <c r="B197" i="52" s="1"/>
  <c r="B222" i="52" s="1"/>
  <c r="B247" i="52" s="1"/>
  <c r="B272" i="52" s="1"/>
  <c r="B297" i="52" s="1"/>
  <c r="B322" i="52" s="1"/>
  <c r="B347" i="52" s="1"/>
  <c r="B46" i="52"/>
  <c r="B71" i="52" s="1"/>
  <c r="B96" i="52" s="1"/>
  <c r="B121" i="52" s="1"/>
  <c r="B146" i="52"/>
  <c r="B171" i="52" s="1"/>
  <c r="B196" i="52" s="1"/>
  <c r="B221" i="52" s="1"/>
  <c r="B246" i="52" s="1"/>
  <c r="B271" i="52" s="1"/>
  <c r="B296" i="52" s="1"/>
  <c r="B321" i="52" s="1"/>
  <c r="B346" i="52" s="1"/>
  <c r="B43" i="52"/>
  <c r="B68" i="52"/>
  <c r="B93" i="52" s="1"/>
  <c r="B118" i="52" s="1"/>
  <c r="B143" i="52" s="1"/>
  <c r="B168" i="52" s="1"/>
  <c r="B193" i="52" s="1"/>
  <c r="B218" i="52" s="1"/>
  <c r="B243" i="52" s="1"/>
  <c r="B268" i="52" s="1"/>
  <c r="B293" i="52" s="1"/>
  <c r="B318" i="52" s="1"/>
  <c r="B343" i="52" s="1"/>
  <c r="B42" i="52"/>
  <c r="B67" i="52" s="1"/>
  <c r="B92" i="52" s="1"/>
  <c r="B117" i="52" s="1"/>
  <c r="B142" i="52" s="1"/>
  <c r="B167" i="52" s="1"/>
  <c r="B192" i="52" s="1"/>
  <c r="B217" i="52" s="1"/>
  <c r="B242" i="52" s="1"/>
  <c r="B267" i="52" s="1"/>
  <c r="B292" i="52" s="1"/>
  <c r="B317" i="52" s="1"/>
  <c r="B342" i="52" s="1"/>
  <c r="B41" i="52"/>
  <c r="B66" i="52"/>
  <c r="B91" i="52" s="1"/>
  <c r="B116" i="52" s="1"/>
  <c r="B141" i="52" s="1"/>
  <c r="B166" i="52" s="1"/>
  <c r="B191" i="52" s="1"/>
  <c r="B216" i="52" s="1"/>
  <c r="B241" i="52" s="1"/>
  <c r="B266" i="52" s="1"/>
  <c r="B291" i="52" s="1"/>
  <c r="B316" i="52" s="1"/>
  <c r="B341" i="52" s="1"/>
  <c r="B40" i="52"/>
  <c r="B65" i="52" s="1"/>
  <c r="B90" i="52" s="1"/>
  <c r="B115" i="52" s="1"/>
  <c r="B140" i="52" s="1"/>
  <c r="B165" i="52" s="1"/>
  <c r="B190" i="52" s="1"/>
  <c r="B215" i="52" s="1"/>
  <c r="B240" i="52" s="1"/>
  <c r="B265" i="52" s="1"/>
  <c r="B290" i="52" s="1"/>
  <c r="B315" i="52" s="1"/>
  <c r="B340" i="52" s="1"/>
  <c r="B39" i="52"/>
  <c r="B64" i="52"/>
  <c r="B89" i="52" s="1"/>
  <c r="B114" i="52" s="1"/>
  <c r="B139" i="52" s="1"/>
  <c r="B164" i="52" s="1"/>
  <c r="B189" i="52" s="1"/>
  <c r="B214" i="52" s="1"/>
  <c r="B239" i="52" s="1"/>
  <c r="B264" i="52" s="1"/>
  <c r="B289" i="52" s="1"/>
  <c r="B314" i="52" s="1"/>
  <c r="B339" i="52" s="1"/>
  <c r="B38" i="52"/>
  <c r="B63" i="52" s="1"/>
  <c r="B88" i="52" s="1"/>
  <c r="B113" i="52" s="1"/>
  <c r="B138" i="52" s="1"/>
  <c r="B163" i="52" s="1"/>
  <c r="B188" i="52" s="1"/>
  <c r="B213" i="52" s="1"/>
  <c r="B238" i="52" s="1"/>
  <c r="B263" i="52" s="1"/>
  <c r="B288" i="52" s="1"/>
  <c r="B313" i="52" s="1"/>
  <c r="B338" i="52" s="1"/>
  <c r="B37" i="52"/>
  <c r="B62" i="52"/>
  <c r="B87" i="52" s="1"/>
  <c r="B112" i="52" s="1"/>
  <c r="B137" i="52" s="1"/>
  <c r="B162" i="52" s="1"/>
  <c r="B187" i="52" s="1"/>
  <c r="B212" i="52" s="1"/>
  <c r="B237" i="52" s="1"/>
  <c r="B262" i="52" s="1"/>
  <c r="B287" i="52" s="1"/>
  <c r="B312" i="52" s="1"/>
  <c r="B337" i="52" s="1"/>
  <c r="B36" i="52"/>
  <c r="B61" i="52" s="1"/>
  <c r="B86" i="52" s="1"/>
  <c r="B111" i="52" s="1"/>
  <c r="B136" i="52" s="1"/>
  <c r="B161" i="52" s="1"/>
  <c r="B186" i="52" s="1"/>
  <c r="B211" i="52" s="1"/>
  <c r="B236" i="52" s="1"/>
  <c r="B261" i="52" s="1"/>
  <c r="B286" i="52" s="1"/>
  <c r="B311" i="52" s="1"/>
  <c r="B336" i="52" s="1"/>
  <c r="B35" i="52"/>
  <c r="B60" i="52"/>
  <c r="B85" i="52" s="1"/>
  <c r="B110" i="52" s="1"/>
  <c r="B135" i="52" s="1"/>
  <c r="B160" i="52" s="1"/>
  <c r="B185" i="52" s="1"/>
  <c r="B210" i="52" s="1"/>
  <c r="B235" i="52" s="1"/>
  <c r="B260" i="52" s="1"/>
  <c r="B285" i="52" s="1"/>
  <c r="B310" i="52" s="1"/>
  <c r="B335" i="52" s="1"/>
  <c r="B34" i="52"/>
  <c r="B59" i="52" s="1"/>
  <c r="B84" i="52" s="1"/>
  <c r="B109" i="52" s="1"/>
  <c r="B134" i="52" s="1"/>
  <c r="B159" i="52" s="1"/>
  <c r="B184" i="52" s="1"/>
  <c r="B209" i="52" s="1"/>
  <c r="B234" i="52" s="1"/>
  <c r="B259" i="52" s="1"/>
  <c r="B284" i="52" s="1"/>
  <c r="B309" i="52" s="1"/>
  <c r="B334" i="52" s="1"/>
  <c r="B33" i="52"/>
  <c r="B58" i="52"/>
  <c r="B83" i="52" s="1"/>
  <c r="B108" i="52" s="1"/>
  <c r="B133" i="52" s="1"/>
  <c r="B158" i="52" s="1"/>
  <c r="B183" i="52" s="1"/>
  <c r="B208" i="52" s="1"/>
  <c r="B233" i="52" s="1"/>
  <c r="B258" i="52" s="1"/>
  <c r="B283" i="52" s="1"/>
  <c r="B308" i="52" s="1"/>
  <c r="B333" i="52" s="1"/>
  <c r="D567" i="48"/>
  <c r="D566" i="48"/>
  <c r="D565" i="48"/>
  <c r="D564" i="48"/>
  <c r="D563" i="48"/>
  <c r="D562" i="48"/>
  <c r="D561" i="48"/>
  <c r="D560" i="48"/>
  <c r="D559" i="48"/>
  <c r="D558" i="48"/>
  <c r="D557" i="48"/>
  <c r="D556" i="48"/>
  <c r="D555" i="48"/>
  <c r="D554" i="48"/>
  <c r="D553" i="48"/>
  <c r="D552" i="48"/>
  <c r="D551" i="48"/>
  <c r="D550" i="48"/>
  <c r="D549" i="48"/>
  <c r="D548" i="48"/>
  <c r="D547" i="48"/>
  <c r="D546" i="48"/>
  <c r="D545" i="48"/>
  <c r="I53" i="45"/>
  <c r="B58" i="45"/>
  <c r="B95" i="45" s="1"/>
  <c r="B128" i="45" s="1"/>
  <c r="B175" i="45"/>
  <c r="B187" i="45"/>
  <c r="A29" i="47" s="1"/>
  <c r="B174" i="45"/>
  <c r="B186" i="45" s="1"/>
  <c r="A28" i="47" s="1"/>
  <c r="B173" i="45"/>
  <c r="B185" i="45"/>
  <c r="A27" i="47" s="1"/>
  <c r="B172" i="45"/>
  <c r="B184" i="45" s="1"/>
  <c r="A26" i="47" s="1"/>
  <c r="B171" i="45"/>
  <c r="B183" i="45"/>
  <c r="A25" i="47" s="1"/>
  <c r="B170" i="45"/>
  <c r="B182" i="45" s="1"/>
  <c r="A24" i="47" s="1"/>
  <c r="B169" i="45"/>
  <c r="B181" i="45"/>
  <c r="A23" i="47" s="1"/>
  <c r="F17" i="47"/>
  <c r="F18" i="47" s="1"/>
  <c r="F15" i="47"/>
  <c r="F16" i="47"/>
  <c r="C18" i="47"/>
  <c r="AD5" i="47"/>
  <c r="K137" i="45"/>
  <c r="K55" i="45"/>
  <c r="K54" i="45" s="1"/>
  <c r="K138" i="45" s="1"/>
  <c r="K149" i="45" s="1"/>
  <c r="K135" i="45"/>
  <c r="K146" i="45"/>
  <c r="J45" i="45"/>
  <c r="J48" i="45"/>
  <c r="J51" i="45"/>
  <c r="J54" i="45"/>
  <c r="J138" i="45" s="1"/>
  <c r="J149" i="45" s="1"/>
  <c r="J62" i="45"/>
  <c r="J133" i="45"/>
  <c r="J144" i="45" s="1"/>
  <c r="J65" i="45"/>
  <c r="J68" i="45"/>
  <c r="J71" i="45"/>
  <c r="J74" i="45"/>
  <c r="J139" i="45"/>
  <c r="J118" i="45"/>
  <c r="B144" i="45"/>
  <c r="K133" i="45"/>
  <c r="K144" i="45"/>
  <c r="B134" i="45"/>
  <c r="B145" i="45"/>
  <c r="B135" i="45"/>
  <c r="B146" i="45"/>
  <c r="J135" i="45"/>
  <c r="B136" i="45"/>
  <c r="B147" i="45" s="1"/>
  <c r="B137" i="45"/>
  <c r="B148" i="45" s="1"/>
  <c r="J137" i="45"/>
  <c r="B138" i="45"/>
  <c r="B149" i="45"/>
  <c r="B139" i="45"/>
  <c r="B150" i="45"/>
  <c r="J140" i="45"/>
  <c r="K140" i="45"/>
  <c r="L140" i="45"/>
  <c r="L151" i="45" s="1"/>
  <c r="L20" i="45"/>
  <c r="M128" i="45"/>
  <c r="M140" i="45" s="1"/>
  <c r="M151" i="45" s="1"/>
  <c r="M20" i="45"/>
  <c r="K19" i="45"/>
  <c r="L18" i="45"/>
  <c r="L8" i="45"/>
  <c r="L11" i="45"/>
  <c r="M21" i="45"/>
  <c r="M96" i="45" s="1"/>
  <c r="N21" i="45"/>
  <c r="H78" i="48"/>
  <c r="H79" i="48"/>
  <c r="J73" i="48"/>
  <c r="K73" i="48"/>
  <c r="M59" i="52"/>
  <c r="M58" i="52"/>
  <c r="N58" i="52" s="1"/>
  <c r="P58" i="52" s="1"/>
  <c r="Q58" i="52" s="1"/>
  <c r="Z5" i="50"/>
  <c r="Z123" i="50" s="1"/>
  <c r="Y5" i="50"/>
  <c r="Y123" i="50" s="1"/>
  <c r="X5" i="50"/>
  <c r="X123" i="50" s="1"/>
  <c r="U123" i="50"/>
  <c r="Q107" i="50"/>
  <c r="N107" i="50"/>
  <c r="L107" i="50"/>
  <c r="I107" i="50"/>
  <c r="H107" i="50"/>
  <c r="G5" i="50"/>
  <c r="G107" i="50" s="1"/>
  <c r="B130" i="50"/>
  <c r="B129" i="50"/>
  <c r="B128" i="50"/>
  <c r="B125" i="50"/>
  <c r="B124" i="50"/>
  <c r="G285" i="48"/>
  <c r="G317" i="48"/>
  <c r="G349" i="48"/>
  <c r="G381" i="48"/>
  <c r="H285" i="48"/>
  <c r="H317" i="48"/>
  <c r="H349" i="48"/>
  <c r="H381" i="48"/>
  <c r="I317" i="48"/>
  <c r="I349" i="48"/>
  <c r="I381" i="48"/>
  <c r="R285" i="48"/>
  <c r="R317" i="48"/>
  <c r="R349" i="48"/>
  <c r="R381" i="48"/>
  <c r="Q285" i="48"/>
  <c r="Q317" i="48"/>
  <c r="Q349" i="48"/>
  <c r="Q381" i="48"/>
  <c r="P285" i="48"/>
  <c r="P317" i="48"/>
  <c r="P349" i="48"/>
  <c r="P381" i="48"/>
  <c r="O285" i="48"/>
  <c r="O317" i="48"/>
  <c r="O349" i="48"/>
  <c r="O381" i="48"/>
  <c r="N285" i="48"/>
  <c r="N317" i="48"/>
  <c r="N349" i="48"/>
  <c r="M317" i="48"/>
  <c r="L285" i="48"/>
  <c r="L381" i="48"/>
  <c r="K285" i="48"/>
  <c r="K349" i="48"/>
  <c r="K381" i="48"/>
  <c r="J317" i="48"/>
  <c r="J349" i="48"/>
  <c r="J381" i="48"/>
  <c r="F182" i="52"/>
  <c r="E182" i="52"/>
  <c r="D7" i="51"/>
  <c r="D22" i="51"/>
  <c r="D29" i="51"/>
  <c r="D36" i="51"/>
  <c r="D43" i="51"/>
  <c r="D50" i="51"/>
  <c r="C33" i="48"/>
  <c r="J46" i="48"/>
  <c r="J47" i="48" s="1"/>
  <c r="I46" i="48"/>
  <c r="I47" i="48" s="1"/>
  <c r="I41" i="48"/>
  <c r="J41" i="48" s="1"/>
  <c r="AA381" i="48"/>
  <c r="Z381" i="48"/>
  <c r="Y381" i="48"/>
  <c r="X381" i="48"/>
  <c r="W381" i="48"/>
  <c r="V381" i="48"/>
  <c r="U381" i="48"/>
  <c r="T381" i="48"/>
  <c r="S381" i="48"/>
  <c r="N361" i="48"/>
  <c r="O361" i="48" s="1"/>
  <c r="AA349" i="48"/>
  <c r="Z349" i="48"/>
  <c r="Y349" i="48"/>
  <c r="X349" i="48"/>
  <c r="W349" i="48"/>
  <c r="V349" i="48"/>
  <c r="U349" i="48"/>
  <c r="M329" i="48"/>
  <c r="M331" i="48"/>
  <c r="T349" i="48"/>
  <c r="S349" i="48"/>
  <c r="AA29" i="48"/>
  <c r="Z29" i="48"/>
  <c r="Y29" i="48"/>
  <c r="X29" i="48"/>
  <c r="W29" i="48"/>
  <c r="V29" i="48"/>
  <c r="U29" i="48"/>
  <c r="T29" i="48"/>
  <c r="S29" i="48"/>
  <c r="R29" i="48"/>
  <c r="Q29" i="48"/>
  <c r="P29" i="48"/>
  <c r="O29" i="48"/>
  <c r="N29" i="48"/>
  <c r="M29" i="48"/>
  <c r="L29" i="48"/>
  <c r="K29" i="48"/>
  <c r="I29" i="48"/>
  <c r="H29" i="48"/>
  <c r="G29" i="48"/>
  <c r="AA61" i="48"/>
  <c r="Z61" i="48"/>
  <c r="Y61" i="48"/>
  <c r="X61" i="48"/>
  <c r="W61" i="48"/>
  <c r="V61" i="48"/>
  <c r="U61" i="48"/>
  <c r="T61" i="48"/>
  <c r="S61" i="48"/>
  <c r="R61" i="48"/>
  <c r="Q61" i="48"/>
  <c r="P61" i="48"/>
  <c r="O61" i="48"/>
  <c r="N61" i="48"/>
  <c r="M61" i="48"/>
  <c r="L61" i="48"/>
  <c r="K61" i="48"/>
  <c r="K399" i="48"/>
  <c r="I61" i="48"/>
  <c r="H61" i="48"/>
  <c r="G61" i="48"/>
  <c r="AA93" i="48"/>
  <c r="Z93" i="48"/>
  <c r="Y93" i="48"/>
  <c r="X93" i="48"/>
  <c r="W93" i="48"/>
  <c r="V93" i="48"/>
  <c r="U93" i="48"/>
  <c r="T93" i="48"/>
  <c r="S93" i="48"/>
  <c r="R93" i="48"/>
  <c r="Q93" i="48"/>
  <c r="P93" i="48"/>
  <c r="O93" i="48"/>
  <c r="N93" i="48"/>
  <c r="M93" i="48"/>
  <c r="L93" i="48"/>
  <c r="I105" i="48"/>
  <c r="I96" i="48" s="1"/>
  <c r="G93" i="48"/>
  <c r="AA125" i="48"/>
  <c r="Z125" i="48"/>
  <c r="Y125" i="48"/>
  <c r="X125" i="48"/>
  <c r="W125" i="48"/>
  <c r="V125" i="48"/>
  <c r="U125" i="48"/>
  <c r="T125" i="48"/>
  <c r="S125" i="48"/>
  <c r="R125" i="48"/>
  <c r="Q125" i="48"/>
  <c r="P125" i="48"/>
  <c r="O125" i="48"/>
  <c r="N125" i="48"/>
  <c r="M125" i="48"/>
  <c r="I125" i="48"/>
  <c r="H125" i="48"/>
  <c r="G125" i="48"/>
  <c r="AA189" i="48"/>
  <c r="Z189" i="48"/>
  <c r="Y189" i="48"/>
  <c r="X189" i="48"/>
  <c r="W189" i="48"/>
  <c r="V189" i="48"/>
  <c r="U189" i="48"/>
  <c r="T189" i="48"/>
  <c r="S189" i="48"/>
  <c r="R189" i="48"/>
  <c r="Q189" i="48"/>
  <c r="Q411" i="48" s="1"/>
  <c r="Q430" i="48" s="1"/>
  <c r="P189" i="48"/>
  <c r="P411" i="48" s="1"/>
  <c r="P430" i="48" s="1"/>
  <c r="O189" i="48"/>
  <c r="N189" i="48"/>
  <c r="N411" i="48"/>
  <c r="M189" i="48"/>
  <c r="L189" i="48"/>
  <c r="L411" i="48" s="1"/>
  <c r="K189" i="48"/>
  <c r="K411" i="48" s="1"/>
  <c r="J189" i="48"/>
  <c r="J411" i="48" s="1"/>
  <c r="H189" i="48"/>
  <c r="H411" i="48" s="1"/>
  <c r="G189" i="48"/>
  <c r="G411" i="48" s="1"/>
  <c r="AA221" i="48"/>
  <c r="Z221" i="48"/>
  <c r="Y221" i="48"/>
  <c r="X221" i="48"/>
  <c r="W221" i="48"/>
  <c r="V221" i="48"/>
  <c r="U221" i="48"/>
  <c r="T221" i="48"/>
  <c r="S221" i="48"/>
  <c r="R221" i="48"/>
  <c r="Q221" i="48"/>
  <c r="P221" i="48"/>
  <c r="O221" i="48"/>
  <c r="N221" i="48"/>
  <c r="M221" i="48"/>
  <c r="L221" i="48"/>
  <c r="K221" i="48"/>
  <c r="J221" i="48"/>
  <c r="I221" i="48"/>
  <c r="H221" i="48"/>
  <c r="G221" i="48"/>
  <c r="AA253" i="48"/>
  <c r="Z253" i="48"/>
  <c r="Y253" i="48"/>
  <c r="X253" i="48"/>
  <c r="W253" i="48"/>
  <c r="V253" i="48"/>
  <c r="U253" i="48"/>
  <c r="T253" i="48"/>
  <c r="S253" i="48"/>
  <c r="R253" i="48"/>
  <c r="Q253" i="48"/>
  <c r="Q417" i="48"/>
  <c r="P253" i="48"/>
  <c r="P417" i="48"/>
  <c r="O253" i="48"/>
  <c r="O417" i="48"/>
  <c r="N253" i="48"/>
  <c r="M253" i="48"/>
  <c r="L253" i="48"/>
  <c r="L417" i="48"/>
  <c r="I253" i="48"/>
  <c r="I417" i="48"/>
  <c r="G253" i="48"/>
  <c r="H253" i="48"/>
  <c r="AA285" i="48"/>
  <c r="Z285" i="48"/>
  <c r="Y285" i="48"/>
  <c r="X285" i="48"/>
  <c r="W285" i="48"/>
  <c r="V285" i="48"/>
  <c r="U285" i="48"/>
  <c r="T285" i="48"/>
  <c r="S285" i="48"/>
  <c r="AA317" i="48"/>
  <c r="Z317" i="48"/>
  <c r="Y317" i="48"/>
  <c r="X317" i="48"/>
  <c r="W317" i="48"/>
  <c r="V317" i="48"/>
  <c r="U317" i="48"/>
  <c r="T317" i="48"/>
  <c r="S317" i="48"/>
  <c r="AA302" i="48"/>
  <c r="AA303" i="48"/>
  <c r="Z302" i="48"/>
  <c r="Z303" i="48"/>
  <c r="Y302" i="48"/>
  <c r="Y303" i="48"/>
  <c r="X302" i="48"/>
  <c r="X303" i="48"/>
  <c r="W302" i="48"/>
  <c r="W303" i="48"/>
  <c r="V302" i="48"/>
  <c r="V303" i="48"/>
  <c r="U302" i="48"/>
  <c r="U303" i="48"/>
  <c r="T302" i="48"/>
  <c r="T303" i="48"/>
  <c r="R303" i="48"/>
  <c r="Q303" i="48"/>
  <c r="P303" i="48"/>
  <c r="O303" i="48"/>
  <c r="N303" i="48"/>
  <c r="M303" i="48"/>
  <c r="AA299" i="48"/>
  <c r="Z299" i="48"/>
  <c r="Y299" i="48"/>
  <c r="X299" i="48"/>
  <c r="W299" i="48"/>
  <c r="V299" i="48"/>
  <c r="U299" i="48"/>
  <c r="T299" i="48"/>
  <c r="S299" i="48"/>
  <c r="R299" i="48"/>
  <c r="Q299" i="48"/>
  <c r="P299" i="48"/>
  <c r="O299" i="48"/>
  <c r="N299" i="48"/>
  <c r="M299" i="48"/>
  <c r="K269" i="48"/>
  <c r="L269" i="48" s="1"/>
  <c r="M269" i="48" s="1"/>
  <c r="N269" i="48" s="1"/>
  <c r="O269" i="48" s="1"/>
  <c r="P269" i="48" s="1"/>
  <c r="Q269" i="48" s="1"/>
  <c r="R269" i="48" s="1"/>
  <c r="S269" i="48" s="1"/>
  <c r="T269" i="48" s="1"/>
  <c r="U269" i="48" s="1"/>
  <c r="V269" i="48" s="1"/>
  <c r="W269" i="48" s="1"/>
  <c r="X269" i="48" s="1"/>
  <c r="Y269" i="48" s="1"/>
  <c r="Z269" i="48" s="1"/>
  <c r="AA269" i="48" s="1"/>
  <c r="AA267" i="48"/>
  <c r="Z267" i="48"/>
  <c r="Y267" i="48"/>
  <c r="X267" i="48"/>
  <c r="W267" i="48"/>
  <c r="V267" i="48"/>
  <c r="U267" i="48"/>
  <c r="T267" i="48"/>
  <c r="S267" i="48"/>
  <c r="R267" i="48"/>
  <c r="Q267" i="48"/>
  <c r="P267" i="48"/>
  <c r="O267" i="48"/>
  <c r="N267" i="48"/>
  <c r="M267" i="48"/>
  <c r="J238" i="48"/>
  <c r="K238" i="48" s="1"/>
  <c r="J233" i="48"/>
  <c r="J237" i="48"/>
  <c r="I206" i="48"/>
  <c r="J206" i="48"/>
  <c r="H201" i="48"/>
  <c r="I201" i="48"/>
  <c r="H174" i="48"/>
  <c r="I174" i="48"/>
  <c r="J174" i="48" s="1"/>
  <c r="I173" i="48"/>
  <c r="J173" i="48" s="1"/>
  <c r="K173" i="48" s="1"/>
  <c r="L173" i="48" s="1"/>
  <c r="M173" i="48" s="1"/>
  <c r="N173" i="48" s="1"/>
  <c r="O173" i="48" s="1"/>
  <c r="P173" i="48" s="1"/>
  <c r="Q173" i="48" s="1"/>
  <c r="R173" i="48" s="1"/>
  <c r="I169" i="48"/>
  <c r="J169" i="48" s="1"/>
  <c r="L109" i="48"/>
  <c r="M109" i="48" s="1"/>
  <c r="N109" i="48" s="1"/>
  <c r="O109" i="48" s="1"/>
  <c r="P109" i="48" s="1"/>
  <c r="Q109" i="48" s="1"/>
  <c r="R109" i="48" s="1"/>
  <c r="S109" i="48" s="1"/>
  <c r="T109" i="48" s="1"/>
  <c r="U109" i="48" s="1"/>
  <c r="V109" i="48" s="1"/>
  <c r="W109" i="48" s="1"/>
  <c r="X109" i="48" s="1"/>
  <c r="Y109" i="48" s="1"/>
  <c r="Z109" i="48" s="1"/>
  <c r="AA109" i="48" s="1"/>
  <c r="D531" i="48"/>
  <c r="D527" i="48"/>
  <c r="D525" i="48"/>
  <c r="D520" i="48"/>
  <c r="D507" i="48"/>
  <c r="D506" i="48"/>
  <c r="D505" i="48"/>
  <c r="D502" i="48"/>
  <c r="D486" i="48"/>
  <c r="D485" i="48"/>
  <c r="D484" i="48"/>
  <c r="D465" i="48"/>
  <c r="D464" i="48"/>
  <c r="D463" i="48"/>
  <c r="D450" i="48"/>
  <c r="D449" i="48"/>
  <c r="D448" i="48"/>
  <c r="E623" i="48"/>
  <c r="E618" i="48"/>
  <c r="E613" i="48"/>
  <c r="E609" i="48"/>
  <c r="B636" i="48"/>
  <c r="B635" i="48"/>
  <c r="B688" i="48"/>
  <c r="B718" i="48"/>
  <c r="B748" i="48" s="1"/>
  <c r="B778" i="48" s="1"/>
  <c r="B808" i="48" s="1"/>
  <c r="B838" i="48" s="1"/>
  <c r="B868" i="48" s="1"/>
  <c r="B898" i="48" s="1"/>
  <c r="B928" i="48" s="1"/>
  <c r="B958" i="48" s="1"/>
  <c r="B988" i="48" s="1"/>
  <c r="B1018" i="48" s="1"/>
  <c r="B1048" i="48" s="1"/>
  <c r="B1078" i="48" s="1"/>
  <c r="B1108" i="48" s="1"/>
  <c r="B1138" i="48" s="1"/>
  <c r="B1168" i="48" s="1"/>
  <c r="B1198" i="48" s="1"/>
  <c r="B1228" i="48" s="1"/>
  <c r="B1258" i="48" s="1"/>
  <c r="B687" i="48"/>
  <c r="B717" i="48"/>
  <c r="B747" i="48" s="1"/>
  <c r="B777" i="48" s="1"/>
  <c r="B807" i="48" s="1"/>
  <c r="B837" i="48" s="1"/>
  <c r="B867" i="48" s="1"/>
  <c r="B897" i="48" s="1"/>
  <c r="B927" i="48" s="1"/>
  <c r="B957" i="48" s="1"/>
  <c r="B987" i="48" s="1"/>
  <c r="B1017" i="48" s="1"/>
  <c r="B1047" i="48" s="1"/>
  <c r="B1077" i="48" s="1"/>
  <c r="B1107" i="48" s="1"/>
  <c r="B1137" i="48" s="1"/>
  <c r="B1167" i="48" s="1"/>
  <c r="B1197" i="48" s="1"/>
  <c r="B1227" i="48" s="1"/>
  <c r="B1257" i="48" s="1"/>
  <c r="B685" i="48"/>
  <c r="B715" i="48"/>
  <c r="B745" i="48" s="1"/>
  <c r="B775" i="48" s="1"/>
  <c r="B805" i="48" s="1"/>
  <c r="B835" i="48" s="1"/>
  <c r="B865" i="48" s="1"/>
  <c r="B895" i="48" s="1"/>
  <c r="B925" i="48" s="1"/>
  <c r="B955" i="48" s="1"/>
  <c r="B985" i="48" s="1"/>
  <c r="B1015" i="48" s="1"/>
  <c r="B1045" i="48" s="1"/>
  <c r="B1075" i="48" s="1"/>
  <c r="B1105" i="48" s="1"/>
  <c r="B1135" i="48" s="1"/>
  <c r="B1165" i="48" s="1"/>
  <c r="B1195" i="48" s="1"/>
  <c r="B1225" i="48" s="1"/>
  <c r="B1255" i="48" s="1"/>
  <c r="B684" i="48"/>
  <c r="B714" i="48"/>
  <c r="B744" i="48" s="1"/>
  <c r="B774" i="48" s="1"/>
  <c r="B804" i="48" s="1"/>
  <c r="B834" i="48" s="1"/>
  <c r="B864" i="48" s="1"/>
  <c r="B894" i="48" s="1"/>
  <c r="B924" i="48" s="1"/>
  <c r="B954" i="48" s="1"/>
  <c r="B984" i="48" s="1"/>
  <c r="B1014" i="48" s="1"/>
  <c r="B1044" i="48" s="1"/>
  <c r="B1074" i="48" s="1"/>
  <c r="B1104" i="48" s="1"/>
  <c r="B1134" i="48" s="1"/>
  <c r="B1164" i="48" s="1"/>
  <c r="B1194" i="48" s="1"/>
  <c r="B1224" i="48" s="1"/>
  <c r="B1254" i="48" s="1"/>
  <c r="B683" i="48"/>
  <c r="B713" i="48"/>
  <c r="B743" i="48" s="1"/>
  <c r="B773" i="48" s="1"/>
  <c r="B803" i="48" s="1"/>
  <c r="B833" i="48" s="1"/>
  <c r="B863" i="48" s="1"/>
  <c r="B893" i="48" s="1"/>
  <c r="B923" i="48" s="1"/>
  <c r="B953" i="48" s="1"/>
  <c r="B983" i="48" s="1"/>
  <c r="B1013" i="48" s="1"/>
  <c r="B1043" i="48" s="1"/>
  <c r="B1073" i="48" s="1"/>
  <c r="B1103" i="48" s="1"/>
  <c r="B1133" i="48" s="1"/>
  <c r="B1163" i="48" s="1"/>
  <c r="B1193" i="48" s="1"/>
  <c r="B1223" i="48" s="1"/>
  <c r="B1253" i="48" s="1"/>
  <c r="B681" i="48"/>
  <c r="B711" i="48"/>
  <c r="B741" i="48" s="1"/>
  <c r="B771" i="48" s="1"/>
  <c r="B801" i="48" s="1"/>
  <c r="B831" i="48" s="1"/>
  <c r="B861" i="48" s="1"/>
  <c r="B891" i="48" s="1"/>
  <c r="B921" i="48" s="1"/>
  <c r="B951" i="48" s="1"/>
  <c r="B981" i="48" s="1"/>
  <c r="B1011" i="48" s="1"/>
  <c r="B1041" i="48" s="1"/>
  <c r="B1071" i="48" s="1"/>
  <c r="B1101" i="48" s="1"/>
  <c r="B1131" i="48" s="1"/>
  <c r="B1161" i="48" s="1"/>
  <c r="B1191" i="48" s="1"/>
  <c r="B1221" i="48" s="1"/>
  <c r="B1251" i="48" s="1"/>
  <c r="B680" i="48"/>
  <c r="B710" i="48"/>
  <c r="B740" i="48" s="1"/>
  <c r="B770" i="48" s="1"/>
  <c r="B800" i="48" s="1"/>
  <c r="B830" i="48" s="1"/>
  <c r="B860" i="48" s="1"/>
  <c r="B890" i="48" s="1"/>
  <c r="B920" i="48" s="1"/>
  <c r="B950" i="48" s="1"/>
  <c r="B980" i="48" s="1"/>
  <c r="B1010" i="48" s="1"/>
  <c r="B1040" i="48" s="1"/>
  <c r="B1070" i="48" s="1"/>
  <c r="B1100" i="48" s="1"/>
  <c r="B1130" i="48" s="1"/>
  <c r="B1160" i="48" s="1"/>
  <c r="B1190" i="48" s="1"/>
  <c r="B1220" i="48" s="1"/>
  <c r="B1250" i="48" s="1"/>
  <c r="B679" i="48"/>
  <c r="B709" i="48"/>
  <c r="B739" i="48" s="1"/>
  <c r="B769" i="48" s="1"/>
  <c r="B799" i="48" s="1"/>
  <c r="B829" i="48" s="1"/>
  <c r="B859" i="48" s="1"/>
  <c r="B889" i="48" s="1"/>
  <c r="B919" i="48" s="1"/>
  <c r="B949" i="48" s="1"/>
  <c r="B979" i="48" s="1"/>
  <c r="B1009" i="48" s="1"/>
  <c r="B1039" i="48" s="1"/>
  <c r="B1069" i="48" s="1"/>
  <c r="B1099" i="48" s="1"/>
  <c r="B1129" i="48" s="1"/>
  <c r="B1159" i="48" s="1"/>
  <c r="B1189" i="48" s="1"/>
  <c r="B1219" i="48" s="1"/>
  <c r="B1249" i="48" s="1"/>
  <c r="B678" i="48"/>
  <c r="B708" i="48"/>
  <c r="B738" i="48" s="1"/>
  <c r="B768" i="48" s="1"/>
  <c r="B798" i="48" s="1"/>
  <c r="B828" i="48" s="1"/>
  <c r="B858" i="48" s="1"/>
  <c r="B888" i="48" s="1"/>
  <c r="B918" i="48" s="1"/>
  <c r="B948" i="48" s="1"/>
  <c r="B978" i="48" s="1"/>
  <c r="B1008" i="48" s="1"/>
  <c r="B1038" i="48" s="1"/>
  <c r="B1068" i="48" s="1"/>
  <c r="B1098" i="48" s="1"/>
  <c r="B1128" i="48" s="1"/>
  <c r="B1158" i="48" s="1"/>
  <c r="B1188" i="48" s="1"/>
  <c r="B1218" i="48" s="1"/>
  <c r="B1248" i="48" s="1"/>
  <c r="B676" i="48"/>
  <c r="B706" i="48"/>
  <c r="B736" i="48" s="1"/>
  <c r="B766" i="48" s="1"/>
  <c r="B796" i="48" s="1"/>
  <c r="B826" i="48" s="1"/>
  <c r="B856" i="48" s="1"/>
  <c r="B886" i="48" s="1"/>
  <c r="B916" i="48" s="1"/>
  <c r="B946" i="48" s="1"/>
  <c r="B976" i="48" s="1"/>
  <c r="B1006" i="48" s="1"/>
  <c r="B1036" i="48" s="1"/>
  <c r="B1066" i="48" s="1"/>
  <c r="B1096" i="48" s="1"/>
  <c r="B1126" i="48" s="1"/>
  <c r="B1156" i="48" s="1"/>
  <c r="B1186" i="48" s="1"/>
  <c r="B1216" i="48" s="1"/>
  <c r="B1246" i="48" s="1"/>
  <c r="B675" i="48"/>
  <c r="B705" i="48"/>
  <c r="B735" i="48" s="1"/>
  <c r="B765" i="48" s="1"/>
  <c r="B795" i="48" s="1"/>
  <c r="B825" i="48" s="1"/>
  <c r="B855" i="48" s="1"/>
  <c r="B885" i="48" s="1"/>
  <c r="B915" i="48" s="1"/>
  <c r="B945" i="48" s="1"/>
  <c r="B975" i="48" s="1"/>
  <c r="B1005" i="48" s="1"/>
  <c r="B1035" i="48" s="1"/>
  <c r="B1065" i="48" s="1"/>
  <c r="B1095" i="48" s="1"/>
  <c r="B1125" i="48" s="1"/>
  <c r="B1155" i="48" s="1"/>
  <c r="B1185" i="48" s="1"/>
  <c r="B1215" i="48" s="1"/>
  <c r="B1245" i="48" s="1"/>
  <c r="B674" i="48"/>
  <c r="B704" i="48"/>
  <c r="B734" i="48" s="1"/>
  <c r="B764" i="48" s="1"/>
  <c r="B794" i="48" s="1"/>
  <c r="B824" i="48" s="1"/>
  <c r="B854" i="48" s="1"/>
  <c r="B884" i="48" s="1"/>
  <c r="B914" i="48" s="1"/>
  <c r="B944" i="48" s="1"/>
  <c r="B974" i="48" s="1"/>
  <c r="B1004" i="48" s="1"/>
  <c r="B1034" i="48" s="1"/>
  <c r="B1064" i="48" s="1"/>
  <c r="B1094" i="48" s="1"/>
  <c r="B1124" i="48" s="1"/>
  <c r="B1154" i="48" s="1"/>
  <c r="B1184" i="48" s="1"/>
  <c r="B1214" i="48" s="1"/>
  <c r="B1244" i="48" s="1"/>
  <c r="B673" i="48"/>
  <c r="B703" i="48"/>
  <c r="B733" i="48" s="1"/>
  <c r="B763" i="48" s="1"/>
  <c r="B793" i="48" s="1"/>
  <c r="B823" i="48" s="1"/>
  <c r="B853" i="48" s="1"/>
  <c r="B883" i="48" s="1"/>
  <c r="B913" i="48" s="1"/>
  <c r="B943" i="48" s="1"/>
  <c r="B973" i="48" s="1"/>
  <c r="B1003" i="48" s="1"/>
  <c r="B1033" i="48" s="1"/>
  <c r="B1063" i="48" s="1"/>
  <c r="B1093" i="48" s="1"/>
  <c r="B1123" i="48" s="1"/>
  <c r="B1153" i="48" s="1"/>
  <c r="B1183" i="48" s="1"/>
  <c r="B1213" i="48" s="1"/>
  <c r="B1243" i="48" s="1"/>
  <c r="B671" i="48"/>
  <c r="B701" i="48"/>
  <c r="B731" i="48" s="1"/>
  <c r="B761" i="48" s="1"/>
  <c r="B791" i="48" s="1"/>
  <c r="B821" i="48" s="1"/>
  <c r="B851" i="48" s="1"/>
  <c r="B881" i="48" s="1"/>
  <c r="B911" i="48" s="1"/>
  <c r="B941" i="48" s="1"/>
  <c r="B971" i="48" s="1"/>
  <c r="B1001" i="48" s="1"/>
  <c r="B1031" i="48" s="1"/>
  <c r="B1061" i="48" s="1"/>
  <c r="B1091" i="48" s="1"/>
  <c r="B1121" i="48" s="1"/>
  <c r="B1151" i="48" s="1"/>
  <c r="B1181" i="48" s="1"/>
  <c r="B1211" i="48" s="1"/>
  <c r="B1241" i="48" s="1"/>
  <c r="B670" i="48"/>
  <c r="B700" i="48"/>
  <c r="B730" i="48" s="1"/>
  <c r="B760" i="48" s="1"/>
  <c r="B790" i="48" s="1"/>
  <c r="B820" i="48" s="1"/>
  <c r="B850" i="48" s="1"/>
  <c r="B880" i="48" s="1"/>
  <c r="B910" i="48" s="1"/>
  <c r="B940" i="48" s="1"/>
  <c r="B970" i="48" s="1"/>
  <c r="B1000" i="48" s="1"/>
  <c r="B1030" i="48" s="1"/>
  <c r="B1060" i="48" s="1"/>
  <c r="B1090" i="48" s="1"/>
  <c r="B1120" i="48" s="1"/>
  <c r="B1150" i="48" s="1"/>
  <c r="B1180" i="48" s="1"/>
  <c r="B1210" i="48" s="1"/>
  <c r="B1240" i="48" s="1"/>
  <c r="B669" i="48"/>
  <c r="B699" i="48"/>
  <c r="B729" i="48" s="1"/>
  <c r="B759" i="48" s="1"/>
  <c r="B789" i="48" s="1"/>
  <c r="B819" i="48" s="1"/>
  <c r="B849" i="48" s="1"/>
  <c r="B879" i="48" s="1"/>
  <c r="B909" i="48" s="1"/>
  <c r="B939" i="48" s="1"/>
  <c r="B969" i="48" s="1"/>
  <c r="B999" i="48" s="1"/>
  <c r="B1029" i="48" s="1"/>
  <c r="B1059" i="48" s="1"/>
  <c r="B1089" i="48" s="1"/>
  <c r="B1119" i="48" s="1"/>
  <c r="B1149" i="48" s="1"/>
  <c r="B1179" i="48" s="1"/>
  <c r="B1209" i="48" s="1"/>
  <c r="B1239" i="48" s="1"/>
  <c r="B667" i="48"/>
  <c r="B697" i="48"/>
  <c r="B727" i="48" s="1"/>
  <c r="B757" i="48" s="1"/>
  <c r="B787" i="48" s="1"/>
  <c r="B817" i="48" s="1"/>
  <c r="B847" i="48" s="1"/>
  <c r="B877" i="48" s="1"/>
  <c r="B907" i="48" s="1"/>
  <c r="B937" i="48" s="1"/>
  <c r="B967" i="48" s="1"/>
  <c r="B997" i="48" s="1"/>
  <c r="B1027" i="48" s="1"/>
  <c r="B1057" i="48" s="1"/>
  <c r="B1087" i="48" s="1"/>
  <c r="B1117" i="48" s="1"/>
  <c r="B1147" i="48" s="1"/>
  <c r="B1177" i="48" s="1"/>
  <c r="B1207" i="48" s="1"/>
  <c r="B1237" i="48" s="1"/>
  <c r="B606" i="48"/>
  <c r="B572" i="48"/>
  <c r="B605" i="48"/>
  <c r="B571" i="48" s="1"/>
  <c r="B573" i="48"/>
  <c r="K4" i="46"/>
  <c r="P5" i="49"/>
  <c r="B533" i="48"/>
  <c r="B540" i="48" s="1"/>
  <c r="B525" i="48"/>
  <c r="B532" i="48"/>
  <c r="B539" i="48" s="1"/>
  <c r="B524" i="48"/>
  <c r="B531" i="48"/>
  <c r="B538" i="48" s="1"/>
  <c r="B523" i="48"/>
  <c r="B530" i="48"/>
  <c r="B537" i="48" s="1"/>
  <c r="B522" i="48"/>
  <c r="B529" i="48"/>
  <c r="B536" i="48" s="1"/>
  <c r="P399" i="48"/>
  <c r="P405" i="48"/>
  <c r="O405" i="48"/>
  <c r="O411" i="48"/>
  <c r="N399" i="48"/>
  <c r="M399" i="48"/>
  <c r="M405" i="48"/>
  <c r="M411" i="48"/>
  <c r="L399" i="48"/>
  <c r="R406" i="48"/>
  <c r="R412" i="48"/>
  <c r="L406" i="48"/>
  <c r="L412" i="48"/>
  <c r="T399" i="48"/>
  <c r="R417" i="48"/>
  <c r="U412" i="48"/>
  <c r="T412" i="48"/>
  <c r="T406" i="48"/>
  <c r="S412" i="48"/>
  <c r="S406" i="48"/>
  <c r="Q412" i="48"/>
  <c r="P412" i="48"/>
  <c r="O412" i="48"/>
  <c r="N412" i="48"/>
  <c r="M412" i="48"/>
  <c r="K412" i="48"/>
  <c r="J412" i="48"/>
  <c r="I412" i="48"/>
  <c r="H412" i="48"/>
  <c r="U411" i="48"/>
  <c r="T411" i="48"/>
  <c r="S411" i="48"/>
  <c r="R411" i="48"/>
  <c r="U406" i="48"/>
  <c r="Q406" i="48"/>
  <c r="P406" i="48"/>
  <c r="P432" i="48" s="1"/>
  <c r="O406" i="48"/>
  <c r="N406" i="48"/>
  <c r="M406" i="48"/>
  <c r="M432" i="48" s="1"/>
  <c r="J406" i="48"/>
  <c r="H406" i="48"/>
  <c r="S405" i="48"/>
  <c r="R405" i="48"/>
  <c r="Q405" i="48"/>
  <c r="U400" i="48"/>
  <c r="U431" i="48"/>
  <c r="T400" i="48"/>
  <c r="T431" i="48"/>
  <c r="S400" i="48"/>
  <c r="S431" i="48"/>
  <c r="R400" i="48"/>
  <c r="R431" i="48"/>
  <c r="Q400" i="48"/>
  <c r="Q431" i="48"/>
  <c r="P400" i="48"/>
  <c r="P431" i="48"/>
  <c r="O400" i="48"/>
  <c r="O431" i="48"/>
  <c r="N400" i="48"/>
  <c r="N431" i="48"/>
  <c r="M400" i="48"/>
  <c r="M431" i="48" s="1"/>
  <c r="L400" i="48"/>
  <c r="L431" i="48"/>
  <c r="K400" i="48"/>
  <c r="K431" i="48" s="1"/>
  <c r="J400" i="48"/>
  <c r="J431" i="48"/>
  <c r="I431" i="48"/>
  <c r="H431" i="48"/>
  <c r="G412" i="48"/>
  <c r="G406" i="48"/>
  <c r="G400" i="48"/>
  <c r="G431" i="48" s="1"/>
  <c r="K61" i="52"/>
  <c r="J105" i="48"/>
  <c r="K105" i="48" s="1"/>
  <c r="M367" i="48"/>
  <c r="L367" i="48"/>
  <c r="K367" i="48"/>
  <c r="J367" i="48"/>
  <c r="I367" i="48"/>
  <c r="H367" i="48"/>
  <c r="L335" i="48"/>
  <c r="K335" i="48"/>
  <c r="O365" i="48"/>
  <c r="N264" i="48"/>
  <c r="G367" i="48"/>
  <c r="N363" i="48"/>
  <c r="M363" i="48"/>
  <c r="J363" i="48"/>
  <c r="I363" i="48"/>
  <c r="H363" i="48"/>
  <c r="G363" i="48"/>
  <c r="F363" i="48"/>
  <c r="J335" i="48"/>
  <c r="I335" i="48"/>
  <c r="H335" i="48"/>
  <c r="G335" i="48"/>
  <c r="I331" i="48"/>
  <c r="H331" i="48"/>
  <c r="G331" i="48"/>
  <c r="F331" i="48"/>
  <c r="C258" i="52"/>
  <c r="M138" i="56" s="1"/>
  <c r="M140" i="56" s="1"/>
  <c r="E253" i="52"/>
  <c r="F253" i="52" s="1"/>
  <c r="G253" i="52" s="1"/>
  <c r="C208" i="52"/>
  <c r="K138" i="56" s="1"/>
  <c r="E278" i="52"/>
  <c r="I303" i="48"/>
  <c r="H303" i="48"/>
  <c r="G303" i="48"/>
  <c r="G299" i="48"/>
  <c r="F299" i="48"/>
  <c r="G271" i="48"/>
  <c r="F267" i="48"/>
  <c r="H233" i="48"/>
  <c r="H235" i="48"/>
  <c r="H206" i="48"/>
  <c r="H205" i="48"/>
  <c r="H207" i="48"/>
  <c r="I239" i="48"/>
  <c r="H239" i="48"/>
  <c r="G239" i="48"/>
  <c r="I235" i="48"/>
  <c r="G235" i="48"/>
  <c r="F235" i="48"/>
  <c r="G203" i="48"/>
  <c r="G207" i="48"/>
  <c r="F203" i="48"/>
  <c r="F337" i="52"/>
  <c r="E337" i="52"/>
  <c r="F312" i="52"/>
  <c r="E312" i="52"/>
  <c r="F287" i="52"/>
  <c r="E287" i="52"/>
  <c r="E212" i="52"/>
  <c r="E187" i="52"/>
  <c r="E137" i="52"/>
  <c r="E12" i="52"/>
  <c r="E37" i="52"/>
  <c r="E62" i="52"/>
  <c r="E87" i="52"/>
  <c r="F171" i="48"/>
  <c r="I139" i="48"/>
  <c r="H139" i="48"/>
  <c r="G139" i="48"/>
  <c r="F139" i="48"/>
  <c r="G175" i="48"/>
  <c r="L157" i="48"/>
  <c r="K157" i="48"/>
  <c r="H157" i="48"/>
  <c r="G157" i="48"/>
  <c r="L147" i="48"/>
  <c r="L150" i="48" s="1"/>
  <c r="K147" i="48"/>
  <c r="K155" i="48" s="1"/>
  <c r="K154" i="48" s="1"/>
  <c r="J147" i="48"/>
  <c r="J155" i="48" s="1"/>
  <c r="J154" i="48" s="1"/>
  <c r="G147" i="48"/>
  <c r="G153" i="48" s="1"/>
  <c r="G148" i="48" s="1"/>
  <c r="H143" i="48"/>
  <c r="G143" i="48"/>
  <c r="AA139" i="48"/>
  <c r="Z139" i="48"/>
  <c r="Y139" i="48"/>
  <c r="X139" i="48"/>
  <c r="W139" i="48"/>
  <c r="V139" i="48"/>
  <c r="U139" i="48"/>
  <c r="T139" i="48"/>
  <c r="S139" i="48"/>
  <c r="R139" i="48"/>
  <c r="Q139" i="48"/>
  <c r="P139" i="48"/>
  <c r="O139" i="48"/>
  <c r="N139" i="48"/>
  <c r="M139" i="48"/>
  <c r="L139" i="48"/>
  <c r="K139" i="48"/>
  <c r="J139" i="48"/>
  <c r="I147" i="48"/>
  <c r="I152" i="48" s="1"/>
  <c r="I148" i="48" s="1"/>
  <c r="H111" i="48"/>
  <c r="G111" i="48"/>
  <c r="AA107" i="48"/>
  <c r="Z107" i="48"/>
  <c r="Y107" i="48"/>
  <c r="X107" i="48"/>
  <c r="W107" i="48"/>
  <c r="V107" i="48"/>
  <c r="U107" i="48"/>
  <c r="T107" i="48"/>
  <c r="S107" i="48"/>
  <c r="R107" i="48"/>
  <c r="Q107" i="48"/>
  <c r="P107" i="48"/>
  <c r="O107" i="48"/>
  <c r="N107" i="48"/>
  <c r="M107" i="48"/>
  <c r="L107" i="48"/>
  <c r="F107" i="48"/>
  <c r="G336" i="52"/>
  <c r="E352" i="52"/>
  <c r="G335" i="52"/>
  <c r="E350" i="52"/>
  <c r="G311" i="52"/>
  <c r="E327" i="52"/>
  <c r="G310" i="52"/>
  <c r="E325" i="52"/>
  <c r="G286" i="52"/>
  <c r="C302" i="52"/>
  <c r="G285" i="52"/>
  <c r="C300" i="52"/>
  <c r="I143" i="48"/>
  <c r="J157" i="48"/>
  <c r="H147" i="48"/>
  <c r="H155" i="48"/>
  <c r="I157" i="48"/>
  <c r="I111" i="48"/>
  <c r="E351" i="52"/>
  <c r="C351" i="52"/>
  <c r="E326" i="52"/>
  <c r="C326" i="52"/>
  <c r="E301" i="52"/>
  <c r="C301" i="52"/>
  <c r="I77" i="48"/>
  <c r="C58" i="52"/>
  <c r="C83" i="52" s="1"/>
  <c r="G79" i="48"/>
  <c r="F75" i="48"/>
  <c r="G47" i="48"/>
  <c r="F43" i="48"/>
  <c r="G9" i="48"/>
  <c r="C8" i="52"/>
  <c r="E56" i="52"/>
  <c r="F56" i="52" s="1"/>
  <c r="G56" i="52" s="1"/>
  <c r="E53" i="52"/>
  <c r="F53" i="52"/>
  <c r="G53" i="52" s="1"/>
  <c r="H47" i="48"/>
  <c r="E356" i="52"/>
  <c r="C356" i="52"/>
  <c r="E353" i="52"/>
  <c r="C353" i="52"/>
  <c r="E349" i="52"/>
  <c r="E331" i="52"/>
  <c r="C331" i="52"/>
  <c r="E328" i="52"/>
  <c r="C328" i="52"/>
  <c r="E324" i="52"/>
  <c r="E306" i="52"/>
  <c r="C306" i="52"/>
  <c r="E303" i="52"/>
  <c r="C303" i="52"/>
  <c r="E231" i="52"/>
  <c r="F231" i="52"/>
  <c r="G231" i="52" s="1"/>
  <c r="E228" i="52"/>
  <c r="E206" i="52"/>
  <c r="F206" i="52"/>
  <c r="G206" i="52" s="1"/>
  <c r="E203" i="52"/>
  <c r="F203" i="52" s="1"/>
  <c r="G203" i="52" s="1"/>
  <c r="E178" i="52"/>
  <c r="E156" i="52"/>
  <c r="E153" i="52"/>
  <c r="E131" i="52"/>
  <c r="E128" i="52"/>
  <c r="F128" i="52"/>
  <c r="G128" i="52" s="1"/>
  <c r="E106" i="52"/>
  <c r="E103" i="52"/>
  <c r="F103" i="52"/>
  <c r="G103" i="52" s="1"/>
  <c r="E81" i="52"/>
  <c r="E78" i="52"/>
  <c r="F78" i="52"/>
  <c r="G78" i="52" s="1"/>
  <c r="G15" i="48"/>
  <c r="E28" i="52"/>
  <c r="E31" i="52"/>
  <c r="F31" i="52" s="1"/>
  <c r="G31" i="52" s="1"/>
  <c r="L21" i="45"/>
  <c r="L96" i="45"/>
  <c r="M129" i="45"/>
  <c r="N129" i="45"/>
  <c r="O129" i="45" s="1"/>
  <c r="P129" i="45" s="1"/>
  <c r="Q129" i="45" s="1"/>
  <c r="R129" i="45" s="1"/>
  <c r="S129" i="45" s="1"/>
  <c r="T129" i="45" s="1"/>
  <c r="U129" i="45" s="1"/>
  <c r="V129" i="45" s="1"/>
  <c r="W129" i="45" s="1"/>
  <c r="X129" i="45" s="1"/>
  <c r="Y129" i="45" s="1"/>
  <c r="Z129" i="45" s="1"/>
  <c r="AA129" i="45" s="1"/>
  <c r="AB129" i="45" s="1"/>
  <c r="AC129" i="45" s="1"/>
  <c r="AD129" i="45" s="1"/>
  <c r="AE129" i="45" s="1"/>
  <c r="AF129" i="45" s="1"/>
  <c r="B178" i="45"/>
  <c r="L97" i="45"/>
  <c r="K20" i="45"/>
  <c r="K95" i="45"/>
  <c r="L19" i="45"/>
  <c r="L94" i="45"/>
  <c r="K94" i="45"/>
  <c r="K109" i="45"/>
  <c r="K96" i="45"/>
  <c r="J97" i="45"/>
  <c r="J20" i="45"/>
  <c r="J95" i="45"/>
  <c r="J94" i="45"/>
  <c r="J96" i="45"/>
  <c r="B129" i="45"/>
  <c r="B177" i="45"/>
  <c r="B189" i="45" s="1"/>
  <c r="B192" i="45" s="1"/>
  <c r="K114" i="45"/>
  <c r="J114" i="45"/>
  <c r="K113" i="45"/>
  <c r="J113" i="45"/>
  <c r="K111" i="45"/>
  <c r="J111" i="45"/>
  <c r="K110" i="45"/>
  <c r="J110" i="45"/>
  <c r="K108" i="45"/>
  <c r="J108" i="45"/>
  <c r="K107" i="45"/>
  <c r="J107" i="45"/>
  <c r="J106" i="45"/>
  <c r="K105" i="45"/>
  <c r="J105" i="45"/>
  <c r="K104" i="45"/>
  <c r="J104" i="45"/>
  <c r="K103" i="45"/>
  <c r="K102" i="45"/>
  <c r="J102" i="45"/>
  <c r="K101" i="45"/>
  <c r="J101" i="45"/>
  <c r="J100" i="45"/>
  <c r="K97" i="45"/>
  <c r="L95" i="45"/>
  <c r="AF93" i="45"/>
  <c r="AE93" i="45"/>
  <c r="AD93" i="45"/>
  <c r="AC93" i="45"/>
  <c r="AB93" i="45"/>
  <c r="AA93" i="45"/>
  <c r="Z93" i="45"/>
  <c r="Y93" i="45"/>
  <c r="V93" i="45"/>
  <c r="S93" i="45"/>
  <c r="K18" i="45"/>
  <c r="K93" i="45" s="1"/>
  <c r="J93" i="45"/>
  <c r="AD92" i="45"/>
  <c r="AC92" i="45"/>
  <c r="AA92" i="45"/>
  <c r="X92" i="45"/>
  <c r="T92" i="45"/>
  <c r="Q92" i="45"/>
  <c r="K17" i="45"/>
  <c r="K92" i="45"/>
  <c r="J92" i="45"/>
  <c r="K15" i="45"/>
  <c r="K90" i="45" s="1"/>
  <c r="J90" i="45"/>
  <c r="AF89" i="45"/>
  <c r="AE89" i="45"/>
  <c r="AD89" i="45"/>
  <c r="AC89" i="45"/>
  <c r="AB89" i="45"/>
  <c r="AA89" i="45"/>
  <c r="Z89" i="45"/>
  <c r="Y89" i="45"/>
  <c r="X89" i="45"/>
  <c r="W89" i="45"/>
  <c r="V89" i="45"/>
  <c r="U89" i="45"/>
  <c r="T89" i="45"/>
  <c r="S89" i="45"/>
  <c r="R89" i="45"/>
  <c r="Q89" i="45"/>
  <c r="P89" i="45"/>
  <c r="O89" i="45"/>
  <c r="N89" i="45"/>
  <c r="M89" i="45"/>
  <c r="K14" i="45"/>
  <c r="K89" i="45"/>
  <c r="J89" i="45"/>
  <c r="L12" i="45"/>
  <c r="L87" i="45" s="1"/>
  <c r="K12" i="45"/>
  <c r="K87" i="45" s="1"/>
  <c r="J87" i="45"/>
  <c r="L86" i="45"/>
  <c r="K11" i="45"/>
  <c r="K86" i="45"/>
  <c r="J86" i="45"/>
  <c r="L9" i="45"/>
  <c r="L84" i="45" s="1"/>
  <c r="K9" i="45"/>
  <c r="K84" i="45" s="1"/>
  <c r="J84" i="45"/>
  <c r="S83" i="45"/>
  <c r="R83" i="45"/>
  <c r="Q83" i="45"/>
  <c r="P83" i="45"/>
  <c r="O83" i="45"/>
  <c r="N83" i="45"/>
  <c r="M83" i="45"/>
  <c r="L83" i="45"/>
  <c r="K8" i="45"/>
  <c r="K83" i="45" s="1"/>
  <c r="J83" i="45"/>
  <c r="B59" i="45"/>
  <c r="B96" i="45"/>
  <c r="B57" i="45"/>
  <c r="B94" i="45"/>
  <c r="J4" i="46"/>
  <c r="AA9" i="51"/>
  <c r="H14" i="49"/>
  <c r="I14" i="49"/>
  <c r="H38" i="49"/>
  <c r="H13" i="49"/>
  <c r="I13" i="49" s="1"/>
  <c r="I16" i="49" s="1"/>
  <c r="M10" i="49"/>
  <c r="M16" i="49" s="1"/>
  <c r="M9" i="49"/>
  <c r="M8" i="49"/>
  <c r="H10" i="49"/>
  <c r="I10" i="49"/>
  <c r="H9" i="49"/>
  <c r="I9" i="49"/>
  <c r="H8" i="49"/>
  <c r="I8" i="49"/>
  <c r="H37" i="49"/>
  <c r="H39" i="49"/>
  <c r="H40" i="49"/>
  <c r="M26" i="49"/>
  <c r="L26" i="49"/>
  <c r="H24" i="49"/>
  <c r="H31" i="49"/>
  <c r="H32" i="49"/>
  <c r="H41" i="49"/>
  <c r="H36" i="49"/>
  <c r="H21" i="49"/>
  <c r="H26" i="49" s="1"/>
  <c r="H22" i="49"/>
  <c r="H7" i="49"/>
  <c r="H16" i="49" s="1"/>
  <c r="F41" i="49"/>
  <c r="E41" i="49"/>
  <c r="D41" i="49"/>
  <c r="C41" i="49"/>
  <c r="B41" i="49"/>
  <c r="J38" i="49"/>
  <c r="J33" i="49"/>
  <c r="M20" i="49"/>
  <c r="M30" i="49" s="1"/>
  <c r="L20" i="49"/>
  <c r="L30" i="49" s="1"/>
  <c r="G26" i="49"/>
  <c r="F26" i="49"/>
  <c r="E26" i="49"/>
  <c r="D26" i="49"/>
  <c r="C26" i="49"/>
  <c r="B26" i="49"/>
  <c r="G16" i="49"/>
  <c r="F16" i="49"/>
  <c r="E16" i="49"/>
  <c r="D16" i="49"/>
  <c r="C16" i="49"/>
  <c r="B16" i="49"/>
  <c r="G11" i="48"/>
  <c r="F11" i="48"/>
  <c r="AD25" i="46"/>
  <c r="AC25" i="46"/>
  <c r="AA25" i="46"/>
  <c r="Y25" i="46"/>
  <c r="X25" i="46"/>
  <c r="W25" i="46"/>
  <c r="U25" i="46"/>
  <c r="S25" i="46"/>
  <c r="Q25" i="46"/>
  <c r="L25" i="46"/>
  <c r="M97" i="45"/>
  <c r="N97" i="45"/>
  <c r="M19" i="45"/>
  <c r="M94" i="45" s="1"/>
  <c r="K91" i="45"/>
  <c r="B30" i="46"/>
  <c r="L15" i="45"/>
  <c r="K88" i="45"/>
  <c r="K85" i="45"/>
  <c r="J82" i="45"/>
  <c r="J85" i="45"/>
  <c r="C327" i="52"/>
  <c r="G126" i="52"/>
  <c r="F28" i="52"/>
  <c r="G28" i="52" s="1"/>
  <c r="L93" i="45"/>
  <c r="N96" i="45"/>
  <c r="G41" i="49"/>
  <c r="L10" i="45"/>
  <c r="L172" i="45" s="1"/>
  <c r="J109" i="45"/>
  <c r="M25" i="46"/>
  <c r="K82" i="45"/>
  <c r="AE25" i="46"/>
  <c r="K100" i="45"/>
  <c r="O97" i="45"/>
  <c r="O25" i="46"/>
  <c r="J112" i="45"/>
  <c r="T25" i="46"/>
  <c r="J146" i="45"/>
  <c r="Z25" i="46"/>
  <c r="V25" i="46"/>
  <c r="N25" i="46"/>
  <c r="J149" i="48"/>
  <c r="J153" i="48"/>
  <c r="J152" i="48"/>
  <c r="F326" i="52"/>
  <c r="G326" i="52" s="1"/>
  <c r="I43" i="48"/>
  <c r="L152" i="48"/>
  <c r="L151" i="48"/>
  <c r="L149" i="48"/>
  <c r="L148" i="48" s="1"/>
  <c r="L153" i="48"/>
  <c r="J150" i="48"/>
  <c r="K152" i="48"/>
  <c r="K150" i="48"/>
  <c r="I156" i="48"/>
  <c r="K151" i="48"/>
  <c r="K153" i="48"/>
  <c r="H203" i="48"/>
  <c r="E299" i="52"/>
  <c r="F81" i="52"/>
  <c r="G81" i="52" s="1"/>
  <c r="F131" i="52"/>
  <c r="G131" i="52" s="1"/>
  <c r="E302" i="52"/>
  <c r="H271" i="48"/>
  <c r="I171" i="48"/>
  <c r="I41" i="49"/>
  <c r="L37" i="49"/>
  <c r="AC91" i="45"/>
  <c r="L16" i="49"/>
  <c r="J91" i="45"/>
  <c r="AB25" i="46"/>
  <c r="AF25" i="46"/>
  <c r="P25" i="46"/>
  <c r="K112" i="45"/>
  <c r="J103" i="45"/>
  <c r="E112" i="52"/>
  <c r="H175" i="48"/>
  <c r="F349" i="52"/>
  <c r="J303" i="48"/>
  <c r="M37" i="49"/>
  <c r="N20" i="45"/>
  <c r="N95" i="45" s="1"/>
  <c r="M95" i="45"/>
  <c r="P97" i="45"/>
  <c r="I271" i="48"/>
  <c r="Q97" i="45"/>
  <c r="O20" i="45"/>
  <c r="O95" i="45"/>
  <c r="R97" i="45"/>
  <c r="P20" i="45"/>
  <c r="P95" i="45"/>
  <c r="Q20" i="45"/>
  <c r="Q95" i="45" s="1"/>
  <c r="S97" i="45"/>
  <c r="T97" i="45"/>
  <c r="R20" i="45"/>
  <c r="R95" i="45" s="1"/>
  <c r="S20" i="45"/>
  <c r="S95" i="45"/>
  <c r="U97" i="45"/>
  <c r="V97" i="45"/>
  <c r="T20" i="45"/>
  <c r="T95" i="45"/>
  <c r="U20" i="45"/>
  <c r="U95" i="45" s="1"/>
  <c r="W97" i="45"/>
  <c r="X97" i="45"/>
  <c r="V20" i="45"/>
  <c r="V95" i="45" s="1"/>
  <c r="Y97" i="45"/>
  <c r="W20" i="45"/>
  <c r="W95" i="45"/>
  <c r="X20" i="45"/>
  <c r="Z97" i="45"/>
  <c r="Y20" i="45"/>
  <c r="Y95" i="45"/>
  <c r="AA97" i="45"/>
  <c r="X95" i="45"/>
  <c r="Z20" i="45"/>
  <c r="Z95" i="45"/>
  <c r="AB97" i="45"/>
  <c r="AC97" i="45"/>
  <c r="AA20" i="45"/>
  <c r="AA95" i="45"/>
  <c r="AB20" i="45"/>
  <c r="AB95" i="45" s="1"/>
  <c r="AD97" i="45"/>
  <c r="AF97" i="45"/>
  <c r="AE97" i="45"/>
  <c r="AC20" i="45"/>
  <c r="AC95" i="45"/>
  <c r="AD20" i="45"/>
  <c r="AD95" i="45" s="1"/>
  <c r="AE20" i="45"/>
  <c r="AE95" i="45"/>
  <c r="AF20" i="45"/>
  <c r="AF95" i="45" s="1"/>
  <c r="E19" i="56"/>
  <c r="H417" i="48"/>
  <c r="D530" i="48"/>
  <c r="J235" i="48"/>
  <c r="J77" i="48"/>
  <c r="D524" i="48"/>
  <c r="S423" i="48"/>
  <c r="D461" i="48"/>
  <c r="D532" i="48"/>
  <c r="O399" i="48"/>
  <c r="Z528" i="48"/>
  <c r="AD29" i="45"/>
  <c r="D479" i="48"/>
  <c r="H156" i="48"/>
  <c r="T432" i="48"/>
  <c r="L432" i="48"/>
  <c r="S303" i="48"/>
  <c r="H399" i="48"/>
  <c r="AA281" i="48"/>
  <c r="H152" i="48"/>
  <c r="S417" i="48"/>
  <c r="N417" i="48"/>
  <c r="N405" i="48"/>
  <c r="U399" i="48"/>
  <c r="T423" i="48"/>
  <c r="J432" i="48"/>
  <c r="R432" i="48"/>
  <c r="T417" i="48"/>
  <c r="H423" i="48"/>
  <c r="X121" i="48"/>
  <c r="D444" i="48"/>
  <c r="D503" i="48"/>
  <c r="M335" i="48"/>
  <c r="G155" i="48"/>
  <c r="L156" i="48"/>
  <c r="D459" i="48"/>
  <c r="M417" i="48"/>
  <c r="D443" i="48"/>
  <c r="D523" i="48"/>
  <c r="L155" i="48"/>
  <c r="J156" i="48"/>
  <c r="G149" i="48"/>
  <c r="N432" i="48"/>
  <c r="G417" i="48"/>
  <c r="U405" i="48"/>
  <c r="AA528" i="48"/>
  <c r="I151" i="48"/>
  <c r="J151" i="48"/>
  <c r="I149" i="48"/>
  <c r="G432" i="48"/>
  <c r="B666" i="48"/>
  <c r="B696" i="48" s="1"/>
  <c r="B726" i="48" s="1"/>
  <c r="B756" i="48" s="1"/>
  <c r="B786" i="48" s="1"/>
  <c r="B816" i="48" s="1"/>
  <c r="B846" i="48" s="1"/>
  <c r="B876" i="48" s="1"/>
  <c r="B906" i="48" s="1"/>
  <c r="B936" i="48" s="1"/>
  <c r="B966" i="48" s="1"/>
  <c r="B996" i="48" s="1"/>
  <c r="B1026" i="48" s="1"/>
  <c r="B1056" i="48" s="1"/>
  <c r="B1086" i="48" s="1"/>
  <c r="B1116" i="48" s="1"/>
  <c r="B1146" i="48" s="1"/>
  <c r="B1176" i="48" s="1"/>
  <c r="B1206" i="48" s="1"/>
  <c r="B1236" i="48" s="1"/>
  <c r="D526" i="48"/>
  <c r="Y123" i="48"/>
  <c r="K233" i="48"/>
  <c r="O432" i="48"/>
  <c r="J148" i="48"/>
  <c r="G152" i="48"/>
  <c r="I150" i="48"/>
  <c r="G151" i="48"/>
  <c r="K156" i="48"/>
  <c r="S432" i="48"/>
  <c r="D529" i="48"/>
  <c r="Y521" i="48"/>
  <c r="G156" i="48"/>
  <c r="G150" i="48"/>
  <c r="B665" i="48"/>
  <c r="B695" i="48" s="1"/>
  <c r="B725" i="48" s="1"/>
  <c r="B755" i="48" s="1"/>
  <c r="B785" i="48" s="1"/>
  <c r="B815" i="48" s="1"/>
  <c r="B845" i="48" s="1"/>
  <c r="B875" i="48" s="1"/>
  <c r="B905" i="48" s="1"/>
  <c r="B935" i="48" s="1"/>
  <c r="B965" i="48" s="1"/>
  <c r="B995" i="48" s="1"/>
  <c r="B1025" i="48" s="1"/>
  <c r="B1055" i="48" s="1"/>
  <c r="B1085" i="48" s="1"/>
  <c r="B1115" i="48" s="1"/>
  <c r="B1145" i="48" s="1"/>
  <c r="B1175" i="48" s="1"/>
  <c r="B1205" i="48" s="1"/>
  <c r="B1235" i="48" s="1"/>
  <c r="D458" i="48"/>
  <c r="G405" i="48"/>
  <c r="N329" i="48"/>
  <c r="C325" i="52"/>
  <c r="G101" i="52"/>
  <c r="C350" i="52"/>
  <c r="F356" i="52"/>
  <c r="G356" i="52" s="1"/>
  <c r="Y121" i="48"/>
  <c r="F302" i="52"/>
  <c r="G302" i="52"/>
  <c r="E300" i="52"/>
  <c r="F300" i="52"/>
  <c r="G300" i="52" s="1"/>
  <c r="F299" i="52"/>
  <c r="G299" i="52" s="1"/>
  <c r="G17" i="56"/>
  <c r="G19" i="56"/>
  <c r="E113" i="56"/>
  <c r="F110" i="56"/>
  <c r="D18" i="56"/>
  <c r="I18" i="56"/>
  <c r="I15" i="56"/>
  <c r="J15" i="56"/>
  <c r="K106" i="45"/>
  <c r="J136" i="45"/>
  <c r="J147" i="45"/>
  <c r="H123" i="50"/>
  <c r="J194" i="45"/>
  <c r="K139" i="45"/>
  <c r="K150" i="45"/>
  <c r="Q123" i="50"/>
  <c r="AI9" i="49"/>
  <c r="AI6" i="49"/>
  <c r="AI31" i="49"/>
  <c r="AI32" i="49"/>
  <c r="K25" i="46"/>
  <c r="Y107" i="50"/>
  <c r="R123" i="50"/>
  <c r="K151" i="45"/>
  <c r="I123" i="50"/>
  <c r="AI21" i="49"/>
  <c r="AI15" i="49"/>
  <c r="AI40" i="49"/>
  <c r="AI14" i="49"/>
  <c r="J150" i="45"/>
  <c r="J107" i="50"/>
  <c r="AI39" i="49"/>
  <c r="AI13" i="49"/>
  <c r="AI34" i="49"/>
  <c r="AI8" i="49"/>
  <c r="AI33" i="49"/>
  <c r="AI7" i="49"/>
  <c r="AJ33" i="49"/>
  <c r="L123" i="50"/>
  <c r="Q5" i="49"/>
  <c r="Q36" i="49"/>
  <c r="J148" i="45"/>
  <c r="J88" i="45"/>
  <c r="J6" i="46"/>
  <c r="J164" i="45"/>
  <c r="L85" i="45"/>
  <c r="K172" i="45"/>
  <c r="I175" i="48"/>
  <c r="G349" i="52"/>
  <c r="J12" i="56"/>
  <c r="K12" i="56"/>
  <c r="L12" i="56"/>
  <c r="J25" i="46"/>
  <c r="O107" i="50"/>
  <c r="F351" i="52"/>
  <c r="Z32" i="51"/>
  <c r="Z28" i="51"/>
  <c r="U423" i="48"/>
  <c r="X107" i="50"/>
  <c r="G123" i="50"/>
  <c r="K148" i="45"/>
  <c r="U417" i="48"/>
  <c r="I399" i="48"/>
  <c r="Q399" i="48"/>
  <c r="K149" i="48"/>
  <c r="T405" i="48"/>
  <c r="T430" i="48" s="1"/>
  <c r="J151" i="45"/>
  <c r="G423" i="48"/>
  <c r="J44" i="45"/>
  <c r="J43" i="45" s="1"/>
  <c r="P423" i="48"/>
  <c r="J134" i="45"/>
  <c r="J145" i="45"/>
  <c r="K136" i="45"/>
  <c r="K147" i="45" s="1"/>
  <c r="J61" i="45"/>
  <c r="I16" i="56"/>
  <c r="AA121" i="48"/>
  <c r="AA123" i="48"/>
  <c r="AJ11" i="49"/>
  <c r="AJ39" i="49"/>
  <c r="Z521" i="48"/>
  <c r="Y528" i="48"/>
  <c r="AA46" i="51"/>
  <c r="AA42" i="51"/>
  <c r="Z249" i="48"/>
  <c r="AI38" i="49"/>
  <c r="AI25" i="49"/>
  <c r="AI12" i="49"/>
  <c r="AI37" i="49"/>
  <c r="AI24" i="49"/>
  <c r="AI11" i="49"/>
  <c r="X528" i="48"/>
  <c r="X281" i="48"/>
  <c r="Y283" i="48"/>
  <c r="AI36" i="49"/>
  <c r="AI23" i="49"/>
  <c r="AI10" i="49"/>
  <c r="AI35" i="49"/>
  <c r="AI22" i="49"/>
  <c r="AA104" i="45"/>
  <c r="I6" i="47"/>
  <c r="G528" i="48"/>
  <c r="G521" i="48"/>
  <c r="Q53" i="51"/>
  <c r="Q49" i="51" s="1"/>
  <c r="V53" i="51"/>
  <c r="V49" i="51" s="1"/>
  <c r="Z53" i="51"/>
  <c r="Z49" i="51"/>
  <c r="S39" i="51"/>
  <c r="S35" i="51" s="1"/>
  <c r="D45" i="51"/>
  <c r="D31" i="51"/>
  <c r="L34" i="46"/>
  <c r="Q42" i="51"/>
  <c r="R49" i="51"/>
  <c r="D24" i="51"/>
  <c r="D38" i="51"/>
  <c r="F104" i="56"/>
  <c r="F105" i="56"/>
  <c r="F107" i="56"/>
  <c r="F109" i="56"/>
  <c r="F108" i="56"/>
  <c r="E115" i="56"/>
  <c r="F103" i="56"/>
  <c r="D19" i="56"/>
  <c r="F106" i="56"/>
  <c r="F111" i="56"/>
  <c r="I107" i="48"/>
  <c r="G154" i="48"/>
  <c r="N331" i="48"/>
  <c r="O329" i="48"/>
  <c r="P329" i="48"/>
  <c r="Q329" i="48" s="1"/>
  <c r="L154" i="48"/>
  <c r="L233" i="48"/>
  <c r="K235" i="48"/>
  <c r="F325" i="52"/>
  <c r="F112" i="56"/>
  <c r="Q37" i="49"/>
  <c r="Q10" i="49"/>
  <c r="F106" i="52"/>
  <c r="G106" i="52"/>
  <c r="J16" i="56"/>
  <c r="J19" i="56"/>
  <c r="I19" i="56"/>
  <c r="I21" i="56" s="1"/>
  <c r="I22" i="56" s="1"/>
  <c r="O5" i="49"/>
  <c r="N335" i="48"/>
  <c r="J6" i="47"/>
  <c r="X247" i="48"/>
  <c r="L35" i="46"/>
  <c r="M36" i="46" s="1"/>
  <c r="N36" i="46" s="1"/>
  <c r="O36" i="46" s="1"/>
  <c r="M33" i="46"/>
  <c r="N33" i="46" s="1"/>
  <c r="O33" i="46" s="1"/>
  <c r="P33" i="46" s="1"/>
  <c r="Q33" i="46" s="1"/>
  <c r="R33" i="46" s="1"/>
  <c r="S33" i="46" s="1"/>
  <c r="C181" i="52"/>
  <c r="E162" i="52"/>
  <c r="E181" i="52"/>
  <c r="K46" i="48"/>
  <c r="K47" i="48"/>
  <c r="AA247" i="48"/>
  <c r="Z247" i="48"/>
  <c r="Y247" i="48"/>
  <c r="U430" i="48"/>
  <c r="AB48" i="47"/>
  <c r="AB49" i="47" s="1"/>
  <c r="C566" i="48" s="1"/>
  <c r="G351" i="52"/>
  <c r="M233" i="48"/>
  <c r="N233" i="48" s="1"/>
  <c r="L235" i="48"/>
  <c r="G325" i="52"/>
  <c r="K6" i="47"/>
  <c r="AC48" i="47"/>
  <c r="AC49" i="47" s="1"/>
  <c r="C567" i="48" s="1"/>
  <c r="L46" i="48"/>
  <c r="L47" i="48" s="1"/>
  <c r="L6" i="47"/>
  <c r="M6" i="47"/>
  <c r="N6" i="47" s="1"/>
  <c r="O6" i="47" s="1"/>
  <c r="P6" i="47" s="1"/>
  <c r="Q6" i="47" s="1"/>
  <c r="R6" i="47" s="1"/>
  <c r="S6" i="47" s="1"/>
  <c r="T6" i="47" s="1"/>
  <c r="U6" i="47" s="1"/>
  <c r="V6" i="47" s="1"/>
  <c r="W6" i="47" s="1"/>
  <c r="X6" i="47" s="1"/>
  <c r="Y6" i="47" s="1"/>
  <c r="Z6" i="47" s="1"/>
  <c r="AA6" i="47" s="1"/>
  <c r="AB6" i="47" s="1"/>
  <c r="AC6" i="47" s="1"/>
  <c r="AD6" i="47" s="1"/>
  <c r="N190" i="56"/>
  <c r="L190" i="56"/>
  <c r="N128" i="45"/>
  <c r="N570" i="48"/>
  <c r="V570" i="48"/>
  <c r="J216" i="45"/>
  <c r="L82" i="45"/>
  <c r="M570" i="48"/>
  <c r="U570" i="48"/>
  <c r="J24" i="45"/>
  <c r="J99" i="45" s="1"/>
  <c r="O570" i="48"/>
  <c r="W570" i="48"/>
  <c r="L89" i="45"/>
  <c r="H570" i="48"/>
  <c r="P570" i="48"/>
  <c r="X570" i="48"/>
  <c r="I570" i="48"/>
  <c r="Q570" i="48"/>
  <c r="Y570" i="48"/>
  <c r="K134" i="45"/>
  <c r="K145" i="45" s="1"/>
  <c r="J570" i="48"/>
  <c r="R570" i="48"/>
  <c r="Z570" i="48"/>
  <c r="K570" i="48"/>
  <c r="S570" i="48"/>
  <c r="AA570" i="48"/>
  <c r="L570" i="48"/>
  <c r="T570" i="48"/>
  <c r="V25" i="51"/>
  <c r="V21" i="51" s="1"/>
  <c r="U49" i="51"/>
  <c r="T42" i="51"/>
  <c r="Q35" i="51"/>
  <c r="T35" i="51"/>
  <c r="Q31" i="49"/>
  <c r="Q15" i="49"/>
  <c r="Q24" i="49"/>
  <c r="Q9" i="49"/>
  <c r="Q23" i="49"/>
  <c r="Q13" i="49"/>
  <c r="Q8" i="49"/>
  <c r="Q7" i="49"/>
  <c r="Q35" i="49"/>
  <c r="AE104" i="45"/>
  <c r="Q22" i="49"/>
  <c r="Q38" i="49"/>
  <c r="Q14" i="49"/>
  <c r="Q40" i="49"/>
  <c r="Q11" i="49"/>
  <c r="Q33" i="49"/>
  <c r="Q21" i="49"/>
  <c r="Q39" i="49"/>
  <c r="Q12" i="49"/>
  <c r="Q32" i="49"/>
  <c r="Q6" i="49"/>
  <c r="Q25" i="49"/>
  <c r="AI44" i="49"/>
  <c r="Y41" i="50" s="1"/>
  <c r="AJ31" i="49"/>
  <c r="AJ36" i="49"/>
  <c r="AJ15" i="49"/>
  <c r="AJ22" i="49"/>
  <c r="AJ13" i="49"/>
  <c r="AJ23" i="49"/>
  <c r="AJ38" i="49"/>
  <c r="AJ10" i="49"/>
  <c r="AJ21" i="49"/>
  <c r="AJ25" i="49"/>
  <c r="AJ34" i="49"/>
  <c r="AJ32" i="49"/>
  <c r="AJ12" i="49"/>
  <c r="AJ35" i="49"/>
  <c r="AJ40" i="49"/>
  <c r="AJ14" i="49"/>
  <c r="AJ37" i="49"/>
  <c r="AJ8" i="49"/>
  <c r="AJ9" i="49"/>
  <c r="AJ6" i="49"/>
  <c r="AJ24" i="49"/>
  <c r="D16" i="51"/>
  <c r="F303" i="52"/>
  <c r="G303" i="52" s="1"/>
  <c r="G26" i="52"/>
  <c r="C297" i="52"/>
  <c r="H154" i="48"/>
  <c r="F306" i="52"/>
  <c r="G306" i="52" s="1"/>
  <c r="F353" i="52"/>
  <c r="G353" i="52"/>
  <c r="E281" i="52"/>
  <c r="E262" i="52"/>
  <c r="G25" i="52"/>
  <c r="E237" i="52"/>
  <c r="K148" i="48"/>
  <c r="E297" i="52"/>
  <c r="F297" i="52"/>
  <c r="G297" i="52" s="1"/>
  <c r="E256" i="52"/>
  <c r="C352" i="52"/>
  <c r="C347" i="52" s="1"/>
  <c r="F347" i="52" s="1"/>
  <c r="G347" i="52" s="1"/>
  <c r="F156" i="52"/>
  <c r="G156" i="52" s="1"/>
  <c r="D533" i="48"/>
  <c r="Q432" i="48"/>
  <c r="R423" i="48"/>
  <c r="D446" i="48"/>
  <c r="R326" i="48"/>
  <c r="M235" i="48"/>
  <c r="I78" i="48"/>
  <c r="I79" i="48" s="1"/>
  <c r="U432" i="48"/>
  <c r="X521" i="48"/>
  <c r="H153" i="48"/>
  <c r="I153" i="48"/>
  <c r="H149" i="48"/>
  <c r="H148" i="48" s="1"/>
  <c r="Q423" i="48"/>
  <c r="H150" i="48"/>
  <c r="H151" i="48"/>
  <c r="G399" i="48"/>
  <c r="G430" i="48" s="1"/>
  <c r="J78" i="48"/>
  <c r="J79" i="48"/>
  <c r="AB104" i="45"/>
  <c r="I155" i="48"/>
  <c r="I154" i="48"/>
  <c r="Z281" i="48"/>
  <c r="R399" i="48"/>
  <c r="AD104" i="45"/>
  <c r="E627" i="48"/>
  <c r="K147" i="56"/>
  <c r="O331" i="48"/>
  <c r="J201" i="48"/>
  <c r="I205" i="48"/>
  <c r="I203" i="48"/>
  <c r="K206" i="48"/>
  <c r="E628" i="48"/>
  <c r="K237" i="48"/>
  <c r="J239" i="48"/>
  <c r="L73" i="48"/>
  <c r="K77" i="48"/>
  <c r="R430" i="48"/>
  <c r="Q44" i="49"/>
  <c r="G41" i="50" s="1"/>
  <c r="H432" i="48"/>
  <c r="O423" i="48"/>
  <c r="O430" i="48"/>
  <c r="AF66" i="45"/>
  <c r="AF104" i="45" s="1"/>
  <c r="S399" i="48"/>
  <c r="S430" i="48" s="1"/>
  <c r="D522" i="48"/>
  <c r="AA521" i="48"/>
  <c r="Z313" i="48"/>
  <c r="Y313" i="48"/>
  <c r="X313" i="48"/>
  <c r="AA313" i="48"/>
  <c r="G125" i="52"/>
  <c r="G75" i="52"/>
  <c r="Z315" i="48"/>
  <c r="AA315" i="48"/>
  <c r="F228" i="52"/>
  <c r="G228" i="52"/>
  <c r="Y315" i="48"/>
  <c r="X315" i="48"/>
  <c r="F327" i="52"/>
  <c r="G327" i="52"/>
  <c r="E322" i="52"/>
  <c r="F324" i="52"/>
  <c r="F350" i="52"/>
  <c r="C322" i="52"/>
  <c r="F322" i="52" s="1"/>
  <c r="G322" i="52" s="1"/>
  <c r="F331" i="52"/>
  <c r="G331" i="52" s="1"/>
  <c r="G127" i="52"/>
  <c r="F278" i="52"/>
  <c r="G278" i="52" s="1"/>
  <c r="F181" i="52"/>
  <c r="G181" i="52"/>
  <c r="E347" i="52"/>
  <c r="F301" i="52"/>
  <c r="AA278" i="48"/>
  <c r="F328" i="52"/>
  <c r="G328" i="52" s="1"/>
  <c r="AK14" i="49"/>
  <c r="AK23" i="49"/>
  <c r="AK22" i="49"/>
  <c r="AK7" i="49"/>
  <c r="AK36" i="49"/>
  <c r="AK39" i="49"/>
  <c r="AK15" i="49"/>
  <c r="AK11" i="49"/>
  <c r="AK24" i="49"/>
  <c r="AK9" i="49"/>
  <c r="AK33" i="49"/>
  <c r="AK32" i="49"/>
  <c r="AK40" i="49"/>
  <c r="AK8" i="49"/>
  <c r="AK12" i="49"/>
  <c r="AK6" i="49"/>
  <c r="AK21" i="49"/>
  <c r="AK35" i="49"/>
  <c r="AK25" i="49"/>
  <c r="AK34" i="49"/>
  <c r="AK13" i="49"/>
  <c r="AK38" i="49"/>
  <c r="AK31" i="49"/>
  <c r="AK10" i="49"/>
  <c r="AK37" i="49"/>
  <c r="AH24" i="49"/>
  <c r="AH37" i="49"/>
  <c r="AH34" i="49"/>
  <c r="AH7" i="49"/>
  <c r="AH14" i="49"/>
  <c r="AH15" i="49"/>
  <c r="AH25" i="49"/>
  <c r="AH38" i="49"/>
  <c r="AH8" i="49"/>
  <c r="AH21" i="49"/>
  <c r="AH33" i="49"/>
  <c r="AH39" i="49"/>
  <c r="AH9" i="49"/>
  <c r="AH40" i="49"/>
  <c r="AH10" i="49"/>
  <c r="AH23" i="49"/>
  <c r="AH22" i="49"/>
  <c r="AH31" i="49"/>
  <c r="AH36" i="49"/>
  <c r="AH35" i="49"/>
  <c r="AH32" i="49"/>
  <c r="AH12" i="49"/>
  <c r="AH6" i="49"/>
  <c r="AH11" i="49"/>
  <c r="AH13" i="49"/>
  <c r="N19" i="45"/>
  <c r="N94" i="45" s="1"/>
  <c r="O21" i="45"/>
  <c r="O96" i="45" s="1"/>
  <c r="U203" i="45"/>
  <c r="AC203" i="45"/>
  <c r="AF203" i="45"/>
  <c r="S203" i="45"/>
  <c r="AA203" i="45"/>
  <c r="L203" i="45"/>
  <c r="Q203" i="45"/>
  <c r="Y203" i="45"/>
  <c r="W203" i="45"/>
  <c r="Z203" i="45"/>
  <c r="AE203" i="45"/>
  <c r="M12" i="56"/>
  <c r="N12" i="56"/>
  <c r="O12" i="56" s="1"/>
  <c r="J20" i="56"/>
  <c r="J21" i="56" s="1"/>
  <c r="J22" i="56" s="1"/>
  <c r="L15" i="56"/>
  <c r="I24" i="49"/>
  <c r="I26" i="49"/>
  <c r="M33" i="49"/>
  <c r="L33" i="49"/>
  <c r="L41" i="49" s="1"/>
  <c r="L44" i="49" s="1"/>
  <c r="P631" i="48"/>
  <c r="O631" i="48"/>
  <c r="R631" i="48"/>
  <c r="G632" i="48"/>
  <c r="Z25" i="51"/>
  <c r="Z21" i="51"/>
  <c r="G51" i="52"/>
  <c r="G631" i="48"/>
  <c r="K218" i="45"/>
  <c r="W49" i="51"/>
  <c r="J217" i="45"/>
  <c r="K216" i="45"/>
  <c r="X46" i="51"/>
  <c r="X42" i="51"/>
  <c r="X28" i="51"/>
  <c r="Z35" i="51"/>
  <c r="R28" i="51"/>
  <c r="Y32" i="51"/>
  <c r="Y28" i="51" s="1"/>
  <c r="Y5" i="51" s="1"/>
  <c r="Y44" i="50" s="1"/>
  <c r="Y129" i="50" s="1"/>
  <c r="U21" i="51"/>
  <c r="D9" i="51"/>
  <c r="R39" i="51"/>
  <c r="R35" i="51" s="1"/>
  <c r="Q631" i="48"/>
  <c r="H631" i="48"/>
  <c r="L169" i="56"/>
  <c r="M165" i="56"/>
  <c r="O167" i="56"/>
  <c r="P167" i="56" s="1"/>
  <c r="Q167" i="56" s="1"/>
  <c r="I167" i="56" s="1"/>
  <c r="Q25" i="51"/>
  <c r="T25" i="51"/>
  <c r="T21" i="51" s="1"/>
  <c r="F281" i="52"/>
  <c r="G281" i="52" s="1"/>
  <c r="AC66" i="45"/>
  <c r="C153" i="52"/>
  <c r="S32" i="51"/>
  <c r="S28" i="51" s="1"/>
  <c r="R203" i="45"/>
  <c r="X203" i="45"/>
  <c r="AB203" i="45"/>
  <c r="U39" i="51"/>
  <c r="U35" i="51"/>
  <c r="S139" i="56"/>
  <c r="Q140" i="56" s="1"/>
  <c r="S140" i="56" s="1"/>
  <c r="Q141" i="56" s="1"/>
  <c r="S141" i="56" s="1"/>
  <c r="S142" i="56" s="1"/>
  <c r="T139" i="56"/>
  <c r="T93" i="45"/>
  <c r="D53" i="51"/>
  <c r="L192" i="56"/>
  <c r="W93" i="45"/>
  <c r="R93" i="45"/>
  <c r="G226" i="52"/>
  <c r="D46" i="51"/>
  <c r="Q28" i="51"/>
  <c r="Q93" i="45"/>
  <c r="Q6" i="51"/>
  <c r="U93" i="45"/>
  <c r="G193" i="56"/>
  <c r="G194" i="56" s="1"/>
  <c r="O181" i="56"/>
  <c r="O128" i="45"/>
  <c r="N140" i="45"/>
  <c r="N151" i="45" s="1"/>
  <c r="H3" i="51"/>
  <c r="I3" i="51" s="1"/>
  <c r="AJ44" i="49"/>
  <c r="Z41" i="50" s="1"/>
  <c r="G200" i="52"/>
  <c r="F256" i="52"/>
  <c r="G256" i="52" s="1"/>
  <c r="O367" i="48"/>
  <c r="L77" i="48"/>
  <c r="M73" i="48"/>
  <c r="J75" i="48"/>
  <c r="K78" i="48"/>
  <c r="K79" i="48" s="1"/>
  <c r="L237" i="48"/>
  <c r="J205" i="48"/>
  <c r="I207" i="48"/>
  <c r="K201" i="48"/>
  <c r="J203" i="48"/>
  <c r="O335" i="48"/>
  <c r="L206" i="48"/>
  <c r="E122" i="52"/>
  <c r="G350" i="52"/>
  <c r="Z278" i="48"/>
  <c r="X278" i="48"/>
  <c r="Y278" i="48"/>
  <c r="G301" i="52"/>
  <c r="C304" i="52"/>
  <c r="E304" i="52"/>
  <c r="G324" i="52"/>
  <c r="E329" i="52"/>
  <c r="C329" i="52"/>
  <c r="AK44" i="49"/>
  <c r="AA41" i="50" s="1"/>
  <c r="L92" i="45"/>
  <c r="O19" i="45"/>
  <c r="O94" i="45" s="1"/>
  <c r="AH44" i="49"/>
  <c r="X41" i="50" s="1"/>
  <c r="X91" i="45"/>
  <c r="P21" i="45"/>
  <c r="P96" i="45" s="1"/>
  <c r="AF54" i="45"/>
  <c r="AF92" i="45"/>
  <c r="S92" i="45"/>
  <c r="N165" i="56"/>
  <c r="O165" i="56" s="1"/>
  <c r="M41" i="49"/>
  <c r="M44" i="49" s="1"/>
  <c r="Y92" i="45"/>
  <c r="W139" i="56"/>
  <c r="V139" i="56"/>
  <c r="T140" i="56" s="1"/>
  <c r="V140" i="56" s="1"/>
  <c r="T141" i="56" s="1"/>
  <c r="V141" i="56" s="1"/>
  <c r="V142" i="56" s="1"/>
  <c r="K146" i="56" s="1"/>
  <c r="J142" i="56" s="1"/>
  <c r="Y279" i="48"/>
  <c r="X279" i="48"/>
  <c r="Z279" i="48"/>
  <c r="AA279" i="48"/>
  <c r="Y311" i="48"/>
  <c r="X311" i="48"/>
  <c r="AA311" i="48"/>
  <c r="Z311" i="48"/>
  <c r="AB92" i="45"/>
  <c r="G202" i="52"/>
  <c r="E197" i="52"/>
  <c r="D25" i="51"/>
  <c r="G100" i="52"/>
  <c r="D6" i="51"/>
  <c r="X5" i="51"/>
  <c r="X44" i="50" s="1"/>
  <c r="X129" i="50" s="1"/>
  <c r="X219" i="48"/>
  <c r="AA219" i="48"/>
  <c r="Y219" i="48"/>
  <c r="Z219" i="48"/>
  <c r="F153" i="52"/>
  <c r="G153" i="52" s="1"/>
  <c r="AE54" i="45"/>
  <c r="AE92" i="45"/>
  <c r="R92" i="45"/>
  <c r="P331" i="48"/>
  <c r="AC104" i="45"/>
  <c r="L16" i="45"/>
  <c r="Q21" i="51"/>
  <c r="V92" i="45"/>
  <c r="Q181" i="56"/>
  <c r="O182" i="56"/>
  <c r="Z92" i="45"/>
  <c r="W92" i="45"/>
  <c r="D32" i="51"/>
  <c r="Y118" i="48"/>
  <c r="AA118" i="48"/>
  <c r="Z118" i="48"/>
  <c r="X118" i="48"/>
  <c r="J271" i="48"/>
  <c r="O140" i="45"/>
  <c r="O151" i="45" s="1"/>
  <c r="P128" i="45"/>
  <c r="N367" i="48"/>
  <c r="M237" i="48"/>
  <c r="M77" i="48"/>
  <c r="N73" i="48"/>
  <c r="K203" i="48"/>
  <c r="L201" i="48"/>
  <c r="L78" i="48"/>
  <c r="L79" i="48" s="1"/>
  <c r="K75" i="48"/>
  <c r="M206" i="48"/>
  <c r="K205" i="48"/>
  <c r="J207" i="48"/>
  <c r="F329" i="52"/>
  <c r="F330" i="52" s="1"/>
  <c r="E330" i="52"/>
  <c r="E321" i="52"/>
  <c r="F304" i="52"/>
  <c r="F305" i="52" s="1"/>
  <c r="E305" i="52"/>
  <c r="E296" i="52"/>
  <c r="F296" i="52" s="1"/>
  <c r="G296" i="52" s="1"/>
  <c r="C296" i="52"/>
  <c r="C305" i="52"/>
  <c r="C330" i="52"/>
  <c r="C321" i="52"/>
  <c r="P19" i="45"/>
  <c r="P94" i="45" s="1"/>
  <c r="Q21" i="45"/>
  <c r="Q96" i="45" s="1"/>
  <c r="AF91" i="45"/>
  <c r="L230" i="45"/>
  <c r="L138" i="45"/>
  <c r="L149" i="45" s="1"/>
  <c r="Q182" i="56"/>
  <c r="O183" i="56"/>
  <c r="Y139" i="56"/>
  <c r="W140" i="56" s="1"/>
  <c r="Y140" i="56" s="1"/>
  <c r="W141" i="56" s="1"/>
  <c r="Y141" i="56" s="1"/>
  <c r="Y142" i="56" s="1"/>
  <c r="L146" i="56" s="1"/>
  <c r="Z139" i="56"/>
  <c r="AB139" i="56"/>
  <c r="Z140" i="56" s="1"/>
  <c r="AB140" i="56" s="1"/>
  <c r="Z141" i="56" s="1"/>
  <c r="AB141" i="56" s="1"/>
  <c r="AB142" i="56" s="1"/>
  <c r="M146" i="56" s="1"/>
  <c r="G50" i="52"/>
  <c r="L220" i="45"/>
  <c r="L91" i="45"/>
  <c r="G251" i="52"/>
  <c r="G10" i="50"/>
  <c r="F4" i="1"/>
  <c r="Y91" i="45"/>
  <c r="P335" i="48"/>
  <c r="R366" i="48"/>
  <c r="U91" i="45"/>
  <c r="K271" i="48"/>
  <c r="AE91" i="45"/>
  <c r="AB91" i="45"/>
  <c r="J147" i="56"/>
  <c r="P140" i="45"/>
  <c r="P151" i="45" s="1"/>
  <c r="Q128" i="45"/>
  <c r="L203" i="48"/>
  <c r="M201" i="48"/>
  <c r="N206" i="48"/>
  <c r="O206" i="48" s="1"/>
  <c r="M78" i="48"/>
  <c r="M79" i="48" s="1"/>
  <c r="L75" i="48"/>
  <c r="N237" i="48"/>
  <c r="L205" i="48"/>
  <c r="K207" i="48"/>
  <c r="N77" i="48"/>
  <c r="O73" i="48"/>
  <c r="O77" i="48" s="1"/>
  <c r="F321" i="52"/>
  <c r="G321" i="52" s="1"/>
  <c r="R21" i="45"/>
  <c r="R96" i="45" s="1"/>
  <c r="Q19" i="45"/>
  <c r="Q94" i="45" s="1"/>
  <c r="R390" i="48"/>
  <c r="Q183" i="56"/>
  <c r="O184" i="56"/>
  <c r="R334" i="48"/>
  <c r="Q335" i="48"/>
  <c r="Q140" i="45"/>
  <c r="Q151" i="45"/>
  <c r="R128" i="45"/>
  <c r="O237" i="48"/>
  <c r="N201" i="48"/>
  <c r="M203" i="48"/>
  <c r="M75" i="48"/>
  <c r="N78" i="48"/>
  <c r="N79" i="48"/>
  <c r="M205" i="48"/>
  <c r="L207" i="48"/>
  <c r="R19" i="45"/>
  <c r="R94" i="45"/>
  <c r="S21" i="45"/>
  <c r="S96" i="45" s="1"/>
  <c r="R358" i="48"/>
  <c r="R335" i="48"/>
  <c r="S334" i="48"/>
  <c r="S335" i="48" s="1"/>
  <c r="O185" i="56"/>
  <c r="Q184" i="56"/>
  <c r="S128" i="45"/>
  <c r="R140" i="45"/>
  <c r="R151" i="45"/>
  <c r="N205" i="48"/>
  <c r="M207" i="48"/>
  <c r="O78" i="48"/>
  <c r="O79" i="48" s="1"/>
  <c r="N75" i="48"/>
  <c r="O201" i="48"/>
  <c r="N203" i="48"/>
  <c r="P237" i="48"/>
  <c r="T21" i="45"/>
  <c r="T96" i="45" s="1"/>
  <c r="S19" i="45"/>
  <c r="S94" i="45"/>
  <c r="S358" i="48"/>
  <c r="G59" i="50"/>
  <c r="G130" i="50" s="1"/>
  <c r="Q185" i="56"/>
  <c r="O186" i="56"/>
  <c r="S140" i="45"/>
  <c r="S151" i="45"/>
  <c r="T128" i="45"/>
  <c r="Q237" i="48"/>
  <c r="P78" i="48"/>
  <c r="O75" i="48"/>
  <c r="O205" i="48"/>
  <c r="N207" i="48"/>
  <c r="O203" i="48"/>
  <c r="P201" i="48"/>
  <c r="T19" i="45"/>
  <c r="T94" i="45"/>
  <c r="U21" i="45"/>
  <c r="U96" i="45" s="1"/>
  <c r="O187" i="56"/>
  <c r="O188" i="56"/>
  <c r="O189" i="56" s="1"/>
  <c r="O190" i="56" s="1"/>
  <c r="Q186" i="56"/>
  <c r="U128" i="45"/>
  <c r="T140" i="45"/>
  <c r="T151" i="45"/>
  <c r="P205" i="48"/>
  <c r="R237" i="48"/>
  <c r="Q78" i="48"/>
  <c r="P203" i="48"/>
  <c r="Q201" i="48"/>
  <c r="Q203" i="48" s="1"/>
  <c r="V21" i="45"/>
  <c r="V96" i="45"/>
  <c r="U19" i="45"/>
  <c r="U94" i="45" s="1"/>
  <c r="U140" i="45"/>
  <c r="U151" i="45"/>
  <c r="V128" i="45"/>
  <c r="R201" i="48"/>
  <c r="Q205" i="48"/>
  <c r="R205" i="48" s="1"/>
  <c r="S205" i="48" s="1"/>
  <c r="T205" i="48" s="1"/>
  <c r="U205" i="48" s="1"/>
  <c r="V205" i="48" s="1"/>
  <c r="W205" i="48" s="1"/>
  <c r="S173" i="48"/>
  <c r="S237" i="48"/>
  <c r="V19" i="45"/>
  <c r="V94" i="45"/>
  <c r="W21" i="45"/>
  <c r="W96" i="45"/>
  <c r="W128" i="45"/>
  <c r="V140" i="45"/>
  <c r="V151" i="45" s="1"/>
  <c r="R203" i="48"/>
  <c r="S201" i="48"/>
  <c r="T201" i="48" s="1"/>
  <c r="T173" i="48"/>
  <c r="U173" i="48" s="1"/>
  <c r="V173" i="48" s="1"/>
  <c r="W173" i="48" s="1"/>
  <c r="X173" i="48" s="1"/>
  <c r="Y173" i="48" s="1"/>
  <c r="T237" i="48"/>
  <c r="W19" i="45"/>
  <c r="W94" i="45" s="1"/>
  <c r="X21" i="45"/>
  <c r="X96" i="45"/>
  <c r="X128" i="45"/>
  <c r="W140" i="45"/>
  <c r="W151" i="45"/>
  <c r="U237" i="48"/>
  <c r="S203" i="48"/>
  <c r="X19" i="45"/>
  <c r="X94" i="45" s="1"/>
  <c r="Y21" i="45"/>
  <c r="Y96" i="45" s="1"/>
  <c r="X140" i="45"/>
  <c r="X151" i="45" s="1"/>
  <c r="Y128" i="45"/>
  <c r="Y140" i="45" s="1"/>
  <c r="Y151" i="45" s="1"/>
  <c r="V237" i="48"/>
  <c r="W237" i="48" s="1"/>
  <c r="X237" i="48" s="1"/>
  <c r="Y237" i="48" s="1"/>
  <c r="Z21" i="45"/>
  <c r="Z96" i="45" s="1"/>
  <c r="Y19" i="45"/>
  <c r="Y94" i="45" s="1"/>
  <c r="Z128" i="45"/>
  <c r="AA21" i="45"/>
  <c r="AA96" i="45" s="1"/>
  <c r="Z19" i="45"/>
  <c r="Z94" i="45" s="1"/>
  <c r="AA128" i="45"/>
  <c r="AB128" i="45" s="1"/>
  <c r="Z140" i="45"/>
  <c r="Z151" i="45" s="1"/>
  <c r="AA19" i="45"/>
  <c r="AA94" i="45"/>
  <c r="AC21" i="46"/>
  <c r="AD21" i="46" s="1"/>
  <c r="AE21" i="46" s="1"/>
  <c r="AB21" i="45"/>
  <c r="AB96" i="45" s="1"/>
  <c r="AA140" i="45"/>
  <c r="AA151" i="45" s="1"/>
  <c r="AC21" i="45"/>
  <c r="AC96" i="45" s="1"/>
  <c r="AC19" i="46"/>
  <c r="AC19" i="45" s="1"/>
  <c r="AC94" i="45" s="1"/>
  <c r="AB19" i="45"/>
  <c r="AB94" i="45"/>
  <c r="X205" i="48"/>
  <c r="Y205" i="48" s="1"/>
  <c r="Z173" i="48"/>
  <c r="Z237" i="48"/>
  <c r="AA237" i="48" s="1"/>
  <c r="AD19" i="46"/>
  <c r="AA173" i="48"/>
  <c r="AE19" i="46"/>
  <c r="AE19" i="45" s="1"/>
  <c r="AD19" i="45"/>
  <c r="AD94" i="45" s="1"/>
  <c r="AF21" i="46"/>
  <c r="AF21" i="45"/>
  <c r="AF96" i="45" s="1"/>
  <c r="AE21" i="45"/>
  <c r="AE96" i="45" s="1"/>
  <c r="Z205" i="48"/>
  <c r="AF19" i="46"/>
  <c r="AF19" i="45" s="1"/>
  <c r="AF94" i="45" s="1"/>
  <c r="AE94" i="45"/>
  <c r="AA205" i="48"/>
  <c r="G131" i="50"/>
  <c r="F18" i="1"/>
  <c r="G7" i="47"/>
  <c r="D75" i="50"/>
  <c r="T72" i="80" l="1"/>
  <c r="G60" i="50"/>
  <c r="L168" i="56"/>
  <c r="M168" i="56" s="1"/>
  <c r="I168" i="56" s="1"/>
  <c r="V123" i="50"/>
  <c r="K123" i="50"/>
  <c r="Z107" i="50"/>
  <c r="AA123" i="50"/>
  <c r="U107" i="50"/>
  <c r="G637" i="48"/>
  <c r="G573" i="48" s="1"/>
  <c r="U667" i="48"/>
  <c r="V667" i="48"/>
  <c r="V679" i="48"/>
  <c r="U674" i="48"/>
  <c r="U675" i="48"/>
  <c r="T675" i="48"/>
  <c r="K46" i="80"/>
  <c r="K72" i="80" s="1"/>
  <c r="N68" i="80"/>
  <c r="M92" i="50"/>
  <c r="V68" i="80"/>
  <c r="I72" i="80"/>
  <c r="K107" i="50"/>
  <c r="O123" i="50"/>
  <c r="V107" i="50"/>
  <c r="M166" i="56"/>
  <c r="N166" i="56" s="1"/>
  <c r="O166" i="56" s="1"/>
  <c r="P166" i="56" s="1"/>
  <c r="N123" i="50"/>
  <c r="E47" i="50"/>
  <c r="E63" i="50" s="1"/>
  <c r="F45" i="50"/>
  <c r="F48" i="50" s="1"/>
  <c r="G651" i="48"/>
  <c r="G587" i="48" s="1"/>
  <c r="V680" i="48"/>
  <c r="U681" i="48"/>
  <c r="V681" i="48"/>
  <c r="V674" i="48"/>
  <c r="V666" i="48"/>
  <c r="U679" i="48"/>
  <c r="U670" i="48"/>
  <c r="E34" i="80"/>
  <c r="E36" i="80" s="1"/>
  <c r="F34" i="80" s="1"/>
  <c r="V92" i="50"/>
  <c r="N92" i="50"/>
  <c r="K92" i="50"/>
  <c r="O171" i="56"/>
  <c r="R207" i="45" s="1"/>
  <c r="R211" i="45" s="1"/>
  <c r="V81" i="50"/>
  <c r="V56" i="50" s="1"/>
  <c r="S46" i="79" s="1"/>
  <c r="P165" i="56"/>
  <c r="Q165" i="56" s="1"/>
  <c r="R165" i="56" s="1"/>
  <c r="M169" i="56"/>
  <c r="J123" i="50"/>
  <c r="P107" i="50"/>
  <c r="E48" i="50"/>
  <c r="E64" i="50" s="1"/>
  <c r="O83" i="50"/>
  <c r="L48" i="79" s="1"/>
  <c r="L92" i="50"/>
  <c r="U82" i="50"/>
  <c r="W107" i="50"/>
  <c r="F47" i="50"/>
  <c r="F63" i="50" s="1"/>
  <c r="H93" i="50"/>
  <c r="Q82" i="50"/>
  <c r="N47" i="79" s="1"/>
  <c r="W123" i="50"/>
  <c r="M123" i="50"/>
  <c r="P123" i="50"/>
  <c r="M107" i="50"/>
  <c r="W72" i="80"/>
  <c r="N46" i="80"/>
  <c r="N72" i="80" s="1"/>
  <c r="O82" i="50"/>
  <c r="L47" i="79" s="1"/>
  <c r="T203" i="48"/>
  <c r="U201" i="48"/>
  <c r="AC128" i="45"/>
  <c r="AB140" i="45"/>
  <c r="AB151" i="45" s="1"/>
  <c r="G32" i="80"/>
  <c r="H7" i="47"/>
  <c r="G76" i="50"/>
  <c r="F76" i="50" s="1"/>
  <c r="E76" i="50" s="1"/>
  <c r="E109" i="50" s="1"/>
  <c r="AD21" i="45"/>
  <c r="AD96" i="45" s="1"/>
  <c r="AA128" i="50"/>
  <c r="J80" i="45"/>
  <c r="J132" i="45"/>
  <c r="K169" i="48"/>
  <c r="J171" i="48"/>
  <c r="P365" i="48"/>
  <c r="P367" i="48" s="1"/>
  <c r="P361" i="48"/>
  <c r="O363" i="48"/>
  <c r="X128" i="50"/>
  <c r="R329" i="48"/>
  <c r="Q331" i="48"/>
  <c r="K140" i="56"/>
  <c r="N138" i="56"/>
  <c r="O207" i="48"/>
  <c r="P206" i="48"/>
  <c r="Z128" i="50"/>
  <c r="G128" i="50"/>
  <c r="G42" i="50"/>
  <c r="H44" i="49"/>
  <c r="K174" i="48"/>
  <c r="J175" i="48"/>
  <c r="L238" i="48"/>
  <c r="K239" i="48"/>
  <c r="J43" i="48"/>
  <c r="K41" i="48"/>
  <c r="B140" i="45"/>
  <c r="B151" i="45" s="1"/>
  <c r="B176" i="45"/>
  <c r="B188" i="45" s="1"/>
  <c r="A30" i="47" s="1"/>
  <c r="Q166" i="56"/>
  <c r="R166" i="56" s="1"/>
  <c r="I44" i="49"/>
  <c r="P12" i="56"/>
  <c r="Q12" i="56" s="1"/>
  <c r="R12" i="56" s="1"/>
  <c r="S12" i="56" s="1"/>
  <c r="T12" i="56" s="1"/>
  <c r="U12" i="56" s="1"/>
  <c r="V12" i="56" s="1"/>
  <c r="W12" i="56" s="1"/>
  <c r="X12" i="56" s="1"/>
  <c r="Y12" i="56" s="1"/>
  <c r="Z12" i="56" s="1"/>
  <c r="AA12" i="56" s="1"/>
  <c r="AB12" i="56" s="1"/>
  <c r="AC12" i="56" s="1"/>
  <c r="AD12" i="56" s="1"/>
  <c r="AE12" i="56" s="1"/>
  <c r="AF12" i="56" s="1"/>
  <c r="AG12" i="56" s="1"/>
  <c r="AH12" i="56" s="1"/>
  <c r="AI12" i="56" s="1"/>
  <c r="AJ12" i="56" s="1"/>
  <c r="AK12" i="56" s="1"/>
  <c r="AL12" i="56" s="1"/>
  <c r="AM12" i="56" s="1"/>
  <c r="AN12" i="56" s="1"/>
  <c r="AO12" i="56" s="1"/>
  <c r="AP12" i="56" s="1"/>
  <c r="AQ12" i="56" s="1"/>
  <c r="AR12" i="56" s="1"/>
  <c r="AS12" i="56" s="1"/>
  <c r="AT12" i="56" s="1"/>
  <c r="AU12" i="56" s="1"/>
  <c r="AV12" i="56" s="1"/>
  <c r="AW12" i="56" s="1"/>
  <c r="AX12" i="56" s="1"/>
  <c r="AY12" i="56" s="1"/>
  <c r="AZ12" i="56" s="1"/>
  <c r="BA12" i="56" s="1"/>
  <c r="BB12" i="56" s="1"/>
  <c r="BC12" i="56" s="1"/>
  <c r="BD12" i="56" s="1"/>
  <c r="BE12" i="56" s="1"/>
  <c r="BF12" i="56" s="1"/>
  <c r="BG12" i="56" s="1"/>
  <c r="BH12" i="56" s="1"/>
  <c r="BI12" i="56" s="1"/>
  <c r="BJ12" i="56" s="1"/>
  <c r="BK12" i="56" s="1"/>
  <c r="Y128" i="50"/>
  <c r="O233" i="48"/>
  <c r="N235" i="48"/>
  <c r="I406" i="48"/>
  <c r="I432" i="48" s="1"/>
  <c r="K128" i="48"/>
  <c r="W249" i="48"/>
  <c r="V249" i="48"/>
  <c r="X249" i="48"/>
  <c r="V5" i="51"/>
  <c r="V44" i="50" s="1"/>
  <c r="R5" i="51"/>
  <c r="R44" i="50" s="1"/>
  <c r="E250" i="52"/>
  <c r="C250" i="52"/>
  <c r="V311" i="48"/>
  <c r="U311" i="48"/>
  <c r="I660" i="48"/>
  <c r="J690" i="48"/>
  <c r="K44" i="45"/>
  <c r="T49" i="79"/>
  <c r="W130" i="50"/>
  <c r="F352" i="52"/>
  <c r="J24" i="56"/>
  <c r="J25" i="56" s="1"/>
  <c r="J81" i="45"/>
  <c r="L204" i="45"/>
  <c r="AA249" i="48"/>
  <c r="V247" i="48"/>
  <c r="W247" i="48"/>
  <c r="C60" i="1"/>
  <c r="C9" i="1" s="1"/>
  <c r="C8" i="1"/>
  <c r="E252" i="52"/>
  <c r="C252" i="52"/>
  <c r="C102" i="52"/>
  <c r="E102" i="52"/>
  <c r="J660" i="48"/>
  <c r="K690" i="48"/>
  <c r="H660" i="48"/>
  <c r="H596" i="48"/>
  <c r="H597" i="48" s="1"/>
  <c r="I690" i="48"/>
  <c r="H690" i="48"/>
  <c r="G660" i="48"/>
  <c r="G596" i="48" s="1"/>
  <c r="G597" i="48" s="1"/>
  <c r="K117" i="45"/>
  <c r="C18" i="79" s="1"/>
  <c r="C17" i="79"/>
  <c r="K5" i="45"/>
  <c r="C6" i="79"/>
  <c r="P73" i="48"/>
  <c r="Q5" i="51"/>
  <c r="Q44" i="50" s="1"/>
  <c r="E76" i="52"/>
  <c r="C76" i="52"/>
  <c r="E27" i="52"/>
  <c r="C27" i="52"/>
  <c r="E276" i="52"/>
  <c r="C276" i="52"/>
  <c r="AD54" i="45"/>
  <c r="K660" i="48"/>
  <c r="L690" i="48"/>
  <c r="U219" i="48"/>
  <c r="W219" i="48"/>
  <c r="Y249" i="48"/>
  <c r="W5" i="51"/>
  <c r="W44" i="50" s="1"/>
  <c r="S5" i="51"/>
  <c r="S44" i="50" s="1"/>
  <c r="E52" i="52"/>
  <c r="C52" i="52"/>
  <c r="P5" i="51"/>
  <c r="P44" i="50" s="1"/>
  <c r="H14" i="51"/>
  <c r="AA28" i="51"/>
  <c r="AA5" i="51" s="1"/>
  <c r="AA44" i="50" s="1"/>
  <c r="AA129" i="50" s="1"/>
  <c r="Z42" i="51"/>
  <c r="Z5" i="51" s="1"/>
  <c r="Z44" i="50" s="1"/>
  <c r="Z129" i="50" s="1"/>
  <c r="E177" i="52"/>
  <c r="F177" i="52" s="1"/>
  <c r="G177" i="52" s="1"/>
  <c r="E176" i="52"/>
  <c r="F176" i="52" s="1"/>
  <c r="G176" i="52" s="1"/>
  <c r="G160" i="52"/>
  <c r="G134" i="52"/>
  <c r="E149" i="52" s="1"/>
  <c r="C77" i="52"/>
  <c r="F77" i="52" s="1"/>
  <c r="G77" i="52" s="1"/>
  <c r="P35" i="51"/>
  <c r="O35" i="51"/>
  <c r="O5" i="51" s="1"/>
  <c r="O44" i="50" s="1"/>
  <c r="M42" i="51"/>
  <c r="L5" i="51"/>
  <c r="L44" i="50" s="1"/>
  <c r="J49" i="51"/>
  <c r="J21" i="51"/>
  <c r="J5" i="51" s="1"/>
  <c r="J44" i="50" s="1"/>
  <c r="G49" i="51"/>
  <c r="G21" i="51"/>
  <c r="H28" i="51"/>
  <c r="D28" i="51" s="1"/>
  <c r="I49" i="51"/>
  <c r="O390" i="48"/>
  <c r="W283" i="48"/>
  <c r="W281" i="48"/>
  <c r="AE8" i="49"/>
  <c r="AE12" i="49"/>
  <c r="AE21" i="49"/>
  <c r="AE25" i="49"/>
  <c r="AE34" i="49"/>
  <c r="AE38" i="49"/>
  <c r="AE9" i="49"/>
  <c r="AE13" i="49"/>
  <c r="AE22" i="49"/>
  <c r="AE31" i="49"/>
  <c r="AE35" i="49"/>
  <c r="AE39" i="49"/>
  <c r="AE7" i="49"/>
  <c r="AE11" i="49"/>
  <c r="AE15" i="49"/>
  <c r="AE24" i="49"/>
  <c r="AE33" i="49"/>
  <c r="AE37" i="49"/>
  <c r="AF7" i="49"/>
  <c r="AF11" i="49"/>
  <c r="AF15" i="49"/>
  <c r="AF24" i="49"/>
  <c r="AF33" i="49"/>
  <c r="AF37" i="49"/>
  <c r="AF8" i="49"/>
  <c r="AF12" i="49"/>
  <c r="AF21" i="49"/>
  <c r="AF25" i="49"/>
  <c r="AF34" i="49"/>
  <c r="AF38" i="49"/>
  <c r="AF6" i="49"/>
  <c r="AF10" i="49"/>
  <c r="AF14" i="49"/>
  <c r="AF23" i="49"/>
  <c r="AF32" i="49"/>
  <c r="AF36" i="49"/>
  <c r="AF40" i="49"/>
  <c r="V215" i="48"/>
  <c r="V219" i="48"/>
  <c r="U249" i="48"/>
  <c r="U118" i="48"/>
  <c r="U123" i="48"/>
  <c r="U121" i="48"/>
  <c r="H10" i="48"/>
  <c r="G19" i="48"/>
  <c r="E634" i="48"/>
  <c r="E664" i="48"/>
  <c r="C178" i="52"/>
  <c r="T315" i="48"/>
  <c r="U315" i="48"/>
  <c r="V315" i="48"/>
  <c r="C152" i="52"/>
  <c r="C151" i="52"/>
  <c r="M326" i="48"/>
  <c r="AG38" i="49"/>
  <c r="AG34" i="49"/>
  <c r="AG25" i="49"/>
  <c r="AG21" i="49"/>
  <c r="AG12" i="49"/>
  <c r="AG8" i="49"/>
  <c r="W278" i="48"/>
  <c r="AE40" i="49"/>
  <c r="AE14" i="49"/>
  <c r="R478" i="48"/>
  <c r="Q457" i="48"/>
  <c r="P442" i="48"/>
  <c r="N528" i="48"/>
  <c r="H21" i="51"/>
  <c r="AF22" i="49"/>
  <c r="U247" i="48"/>
  <c r="T121" i="48"/>
  <c r="T119" i="48"/>
  <c r="T118" i="48"/>
  <c r="T123" i="48"/>
  <c r="S339" i="48"/>
  <c r="T330" i="48"/>
  <c r="N86" i="48"/>
  <c r="N89" i="48"/>
  <c r="N87" i="48"/>
  <c r="N91" i="48"/>
  <c r="K59" i="48"/>
  <c r="K57" i="48"/>
  <c r="K54" i="48"/>
  <c r="K55" i="48"/>
  <c r="J54" i="48"/>
  <c r="J55" i="48"/>
  <c r="J57" i="48"/>
  <c r="J69" i="48" s="1"/>
  <c r="J59" i="48"/>
  <c r="I183" i="48"/>
  <c r="I187" i="48"/>
  <c r="I182" i="48"/>
  <c r="I185" i="48"/>
  <c r="L53" i="45"/>
  <c r="L90" i="45" s="1"/>
  <c r="F62" i="81"/>
  <c r="G62" i="81" s="1"/>
  <c r="H62" i="81" s="1"/>
  <c r="I62" i="81" s="1"/>
  <c r="J62" i="81" s="1"/>
  <c r="K62" i="81" s="1"/>
  <c r="L62" i="81" s="1"/>
  <c r="M62" i="81" s="1"/>
  <c r="N62" i="81" s="1"/>
  <c r="O62" i="81" s="1"/>
  <c r="P62" i="81" s="1"/>
  <c r="Q62" i="81" s="1"/>
  <c r="I265" i="48"/>
  <c r="I266" i="48" s="1"/>
  <c r="U42" i="51"/>
  <c r="U5" i="51" s="1"/>
  <c r="U44" i="50" s="1"/>
  <c r="C225" i="52"/>
  <c r="G159" i="52"/>
  <c r="E174" i="52" s="1"/>
  <c r="E152" i="52"/>
  <c r="F152" i="52" s="1"/>
  <c r="G152" i="52" s="1"/>
  <c r="G135" i="52"/>
  <c r="N5" i="51"/>
  <c r="N44" i="50" s="1"/>
  <c r="M5" i="51"/>
  <c r="M44" i="50" s="1"/>
  <c r="I5" i="51"/>
  <c r="I44" i="50" s="1"/>
  <c r="D26" i="51"/>
  <c r="I19" i="51"/>
  <c r="I20" i="51" s="1"/>
  <c r="H19" i="51"/>
  <c r="AG37" i="49"/>
  <c r="AG33" i="49"/>
  <c r="AG24" i="49"/>
  <c r="AG15" i="49"/>
  <c r="AG11" i="49"/>
  <c r="AG7" i="49"/>
  <c r="AG44" i="49" s="1"/>
  <c r="W41" i="50" s="1"/>
  <c r="W311" i="48"/>
  <c r="AE36" i="49"/>
  <c r="AE10" i="49"/>
  <c r="S442" i="48"/>
  <c r="Q521" i="48"/>
  <c r="K37" i="51"/>
  <c r="K39" i="51" s="1"/>
  <c r="D39" i="51" s="1"/>
  <c r="H18" i="51"/>
  <c r="AF39" i="49"/>
  <c r="AF13" i="49"/>
  <c r="V457" i="48"/>
  <c r="V119" i="48"/>
  <c r="U281" i="48"/>
  <c r="Z54" i="45"/>
  <c r="C24" i="52"/>
  <c r="C49" i="52"/>
  <c r="C74" i="52"/>
  <c r="C99" i="52"/>
  <c r="C124" i="52"/>
  <c r="C149" i="52"/>
  <c r="C174" i="52"/>
  <c r="C199" i="52"/>
  <c r="C224" i="52"/>
  <c r="F224" i="52" s="1"/>
  <c r="C249" i="52"/>
  <c r="C274" i="52"/>
  <c r="M9" i="46"/>
  <c r="T5" i="51"/>
  <c r="T44" i="50" s="1"/>
  <c r="V283" i="48"/>
  <c r="T283" i="48"/>
  <c r="C261" i="52"/>
  <c r="G261" i="52" s="1"/>
  <c r="C277" i="52" s="1"/>
  <c r="C260" i="52"/>
  <c r="G260" i="52" s="1"/>
  <c r="E227" i="52"/>
  <c r="V313" i="48"/>
  <c r="U313" i="48"/>
  <c r="L358" i="48"/>
  <c r="L147" i="56" s="1"/>
  <c r="L270" i="48"/>
  <c r="W315" i="48"/>
  <c r="W123" i="48"/>
  <c r="AG40" i="49"/>
  <c r="AG36" i="49"/>
  <c r="AG32" i="49"/>
  <c r="AG23" i="49"/>
  <c r="AG14" i="49"/>
  <c r="AG10" i="49"/>
  <c r="W313" i="48"/>
  <c r="W121" i="48"/>
  <c r="W279" i="48"/>
  <c r="W118" i="48"/>
  <c r="W119" i="48"/>
  <c r="AE32" i="49"/>
  <c r="AE6" i="49"/>
  <c r="L521" i="48"/>
  <c r="K528" i="48"/>
  <c r="AF35" i="49"/>
  <c r="AF9" i="49"/>
  <c r="V499" i="48"/>
  <c r="U119" i="48"/>
  <c r="U278" i="48"/>
  <c r="U277" i="48"/>
  <c r="U279" i="48"/>
  <c r="T213" i="48"/>
  <c r="T217" i="48"/>
  <c r="T215" i="48"/>
  <c r="T219" i="48"/>
  <c r="T278" i="48"/>
  <c r="T281" i="48"/>
  <c r="T277" i="48"/>
  <c r="T279" i="48"/>
  <c r="R347" i="48"/>
  <c r="R342" i="48"/>
  <c r="R341" i="48"/>
  <c r="R343" i="48"/>
  <c r="R345" i="48"/>
  <c r="O85" i="48"/>
  <c r="O86" i="48"/>
  <c r="O87" i="48"/>
  <c r="O89" i="48"/>
  <c r="O91" i="48"/>
  <c r="N5" i="47"/>
  <c r="S5" i="47"/>
  <c r="Y5" i="47" s="1"/>
  <c r="K85" i="48"/>
  <c r="K86" i="48"/>
  <c r="K87" i="48"/>
  <c r="K89" i="48"/>
  <c r="K91" i="48"/>
  <c r="J85" i="48"/>
  <c r="J87" i="48"/>
  <c r="J91" i="48"/>
  <c r="J86" i="48"/>
  <c r="J89" i="48"/>
  <c r="G119" i="48"/>
  <c r="G123" i="48"/>
  <c r="G117" i="48"/>
  <c r="G118" i="48"/>
  <c r="G121" i="48"/>
  <c r="V54" i="45"/>
  <c r="Q26" i="47"/>
  <c r="U184" i="45"/>
  <c r="H85" i="48"/>
  <c r="H86" i="48"/>
  <c r="H89" i="48"/>
  <c r="H87" i="48"/>
  <c r="H91" i="48"/>
  <c r="T54" i="45"/>
  <c r="Q54" i="45"/>
  <c r="T309" i="48"/>
  <c r="T313" i="48"/>
  <c r="T310" i="48"/>
  <c r="T311" i="48"/>
  <c r="M341" i="48"/>
  <c r="M345" i="48"/>
  <c r="M342" i="48"/>
  <c r="M343" i="48"/>
  <c r="M347" i="48"/>
  <c r="K373" i="48"/>
  <c r="K375" i="48"/>
  <c r="K377" i="48"/>
  <c r="K379" i="48"/>
  <c r="J331" i="48"/>
  <c r="J330" i="48" s="1"/>
  <c r="J339" i="48" s="1"/>
  <c r="K330" i="48"/>
  <c r="K339" i="48" s="1"/>
  <c r="I89" i="48"/>
  <c r="I85" i="48"/>
  <c r="I87" i="48"/>
  <c r="I91" i="48"/>
  <c r="I86" i="48"/>
  <c r="M12" i="45"/>
  <c r="M10" i="46"/>
  <c r="G249" i="48"/>
  <c r="I298" i="48"/>
  <c r="V124" i="45"/>
  <c r="W124" i="45" s="1"/>
  <c r="X124" i="45" s="1"/>
  <c r="Q124" i="45"/>
  <c r="R124" i="45" s="1"/>
  <c r="S124" i="45" s="1"/>
  <c r="T124" i="45" s="1"/>
  <c r="U124" i="45" s="1"/>
  <c r="U138" i="45" s="1"/>
  <c r="U149" i="45" s="1"/>
  <c r="Q120" i="45"/>
  <c r="R120" i="45" s="1"/>
  <c r="S120" i="45" s="1"/>
  <c r="T120" i="45" s="1"/>
  <c r="U120" i="45" s="1"/>
  <c r="V120" i="45" s="1"/>
  <c r="W120" i="45" s="1"/>
  <c r="X120" i="45" s="1"/>
  <c r="Y120" i="45" s="1"/>
  <c r="Z120" i="45" s="1"/>
  <c r="AA120" i="45" s="1"/>
  <c r="AB120" i="45" s="1"/>
  <c r="AC120" i="45" s="1"/>
  <c r="AD120" i="45" s="1"/>
  <c r="AE120" i="45" s="1"/>
  <c r="AF120" i="45" s="1"/>
  <c r="T247" i="48"/>
  <c r="T245" i="48"/>
  <c r="T249" i="48"/>
  <c r="S277" i="48"/>
  <c r="S279" i="48"/>
  <c r="S283" i="48"/>
  <c r="S281" i="48"/>
  <c r="S278" i="48"/>
  <c r="Q377" i="48"/>
  <c r="Q373" i="48"/>
  <c r="Q379" i="48"/>
  <c r="Q375" i="48"/>
  <c r="P85" i="48"/>
  <c r="P87" i="48"/>
  <c r="P86" i="48"/>
  <c r="P91" i="48"/>
  <c r="P89" i="48"/>
  <c r="M182" i="48"/>
  <c r="M454" i="48" s="1"/>
  <c r="M181" i="48"/>
  <c r="M183" i="48"/>
  <c r="M185" i="48"/>
  <c r="M511" i="48" s="1"/>
  <c r="M187" i="48"/>
  <c r="L181" i="48"/>
  <c r="L182" i="48"/>
  <c r="L454" i="48" s="1"/>
  <c r="L183" i="48"/>
  <c r="L187" i="48"/>
  <c r="L185" i="48"/>
  <c r="K187" i="48"/>
  <c r="K185" i="48"/>
  <c r="K511" i="48" s="1"/>
  <c r="K182" i="48"/>
  <c r="K183" i="48"/>
  <c r="K181" i="48"/>
  <c r="J183" i="48"/>
  <c r="J182" i="48"/>
  <c r="J454" i="48" s="1"/>
  <c r="J187" i="48"/>
  <c r="J185" i="48"/>
  <c r="J511" i="48" s="1"/>
  <c r="J181" i="48"/>
  <c r="F36" i="80"/>
  <c r="G181" i="48"/>
  <c r="G183" i="48"/>
  <c r="G182" i="48"/>
  <c r="G454" i="48" s="1"/>
  <c r="G185" i="48"/>
  <c r="G511" i="48" s="1"/>
  <c r="G187" i="48"/>
  <c r="W54" i="45"/>
  <c r="T123" i="45"/>
  <c r="U123" i="45" s="1"/>
  <c r="V123" i="45" s="1"/>
  <c r="W123" i="45" s="1"/>
  <c r="X123" i="45" s="1"/>
  <c r="Y123" i="45" s="1"/>
  <c r="Z123" i="45" s="1"/>
  <c r="AA123" i="45" s="1"/>
  <c r="AB123" i="45" s="1"/>
  <c r="AC123" i="45" s="1"/>
  <c r="AD123" i="45" s="1"/>
  <c r="AE123" i="45" s="1"/>
  <c r="AF123" i="45" s="1"/>
  <c r="AF137" i="45" s="1"/>
  <c r="T122" i="45"/>
  <c r="S54" i="45"/>
  <c r="R54" i="45"/>
  <c r="P121" i="45"/>
  <c r="Q121" i="45" s="1"/>
  <c r="R121" i="45" s="1"/>
  <c r="S121" i="45" s="1"/>
  <c r="T121" i="45" s="1"/>
  <c r="U121" i="45" s="1"/>
  <c r="V121" i="45" s="1"/>
  <c r="W121" i="45" s="1"/>
  <c r="X121" i="45" s="1"/>
  <c r="Y121" i="45" s="1"/>
  <c r="Z121" i="45" s="1"/>
  <c r="AA121" i="45" s="1"/>
  <c r="AB121" i="45" s="1"/>
  <c r="AC121" i="45" s="1"/>
  <c r="AD121" i="45" s="1"/>
  <c r="AE121" i="45" s="1"/>
  <c r="AF121" i="45" s="1"/>
  <c r="N119" i="45"/>
  <c r="H41" i="47"/>
  <c r="M49" i="45" s="1"/>
  <c r="I40" i="47"/>
  <c r="P23" i="47"/>
  <c r="T181" i="45"/>
  <c r="S215" i="48"/>
  <c r="S219" i="48"/>
  <c r="S213" i="48"/>
  <c r="S217" i="48"/>
  <c r="R309" i="48"/>
  <c r="R311" i="48"/>
  <c r="R315" i="48"/>
  <c r="R313" i="48"/>
  <c r="R310" i="48"/>
  <c r="Q277" i="48"/>
  <c r="Q279" i="48"/>
  <c r="Q278" i="48"/>
  <c r="Q283" i="48"/>
  <c r="Q281" i="48"/>
  <c r="P375" i="48"/>
  <c r="P373" i="48"/>
  <c r="P379" i="48"/>
  <c r="P377" i="48"/>
  <c r="P310" i="48"/>
  <c r="P311" i="48"/>
  <c r="P315" i="48"/>
  <c r="P309" i="48"/>
  <c r="P313" i="48"/>
  <c r="O373" i="48"/>
  <c r="O375" i="48"/>
  <c r="O377" i="48"/>
  <c r="O379" i="48"/>
  <c r="O311" i="48"/>
  <c r="O309" i="48"/>
  <c r="O310" i="48"/>
  <c r="O315" i="48"/>
  <c r="O313" i="48"/>
  <c r="N377" i="48"/>
  <c r="N389" i="48" s="1"/>
  <c r="N375" i="48"/>
  <c r="N373" i="48"/>
  <c r="N379" i="48"/>
  <c r="N309" i="48"/>
  <c r="N311" i="48"/>
  <c r="N315" i="48"/>
  <c r="N313" i="48"/>
  <c r="N310" i="48"/>
  <c r="M375" i="48"/>
  <c r="M379" i="48"/>
  <c r="M377" i="48"/>
  <c r="M373" i="48"/>
  <c r="M278" i="48"/>
  <c r="M277" i="48"/>
  <c r="M279" i="48"/>
  <c r="M283" i="48"/>
  <c r="M281" i="48"/>
  <c r="D784" i="48"/>
  <c r="E784" i="48"/>
  <c r="L277" i="48"/>
  <c r="L278" i="48"/>
  <c r="L279" i="48"/>
  <c r="L281" i="48"/>
  <c r="L283" i="48"/>
  <c r="D754" i="48"/>
  <c r="E754" i="48"/>
  <c r="K283" i="48"/>
  <c r="K281" i="48"/>
  <c r="K278" i="48"/>
  <c r="K279" i="48"/>
  <c r="K277" i="48"/>
  <c r="J215" i="48"/>
  <c r="J217" i="48"/>
  <c r="J213" i="48"/>
  <c r="J219" i="48"/>
  <c r="D694" i="48"/>
  <c r="E694" i="48"/>
  <c r="I55" i="48"/>
  <c r="I54" i="48"/>
  <c r="I59" i="48"/>
  <c r="I57" i="48"/>
  <c r="I53" i="48"/>
  <c r="G5" i="81"/>
  <c r="AD8" i="49"/>
  <c r="AD12" i="49"/>
  <c r="AD21" i="49"/>
  <c r="AD25" i="49"/>
  <c r="AD34" i="49"/>
  <c r="AD38" i="49"/>
  <c r="AD9" i="49"/>
  <c r="AD13" i="49"/>
  <c r="AD22" i="49"/>
  <c r="AD31" i="49"/>
  <c r="AD35" i="49"/>
  <c r="AD39" i="49"/>
  <c r="AD6" i="49"/>
  <c r="AD10" i="49"/>
  <c r="AD14" i="49"/>
  <c r="AD23" i="49"/>
  <c r="AD32" i="49"/>
  <c r="AD36" i="49"/>
  <c r="AD40" i="49"/>
  <c r="AD7" i="49"/>
  <c r="AD11" i="49"/>
  <c r="AD15" i="49"/>
  <c r="AD24" i="49"/>
  <c r="AD33" i="49"/>
  <c r="AD37" i="49"/>
  <c r="AC9" i="49"/>
  <c r="AC13" i="49"/>
  <c r="AC22" i="49"/>
  <c r="AC31" i="49"/>
  <c r="AC35" i="49"/>
  <c r="AC39" i="49"/>
  <c r="AC6" i="49"/>
  <c r="AC10" i="49"/>
  <c r="AC14" i="49"/>
  <c r="AC23" i="49"/>
  <c r="AC32" i="49"/>
  <c r="AC36" i="49"/>
  <c r="AC40" i="49"/>
  <c r="AC7" i="49"/>
  <c r="AC11" i="49"/>
  <c r="AC15" i="49"/>
  <c r="AC24" i="49"/>
  <c r="AC33" i="49"/>
  <c r="AC37" i="49"/>
  <c r="AC8" i="49"/>
  <c r="AC12" i="49"/>
  <c r="AC21" i="49"/>
  <c r="AC25" i="49"/>
  <c r="AC34" i="49"/>
  <c r="AC38" i="49"/>
  <c r="T7" i="47"/>
  <c r="G341" i="48"/>
  <c r="G342" i="48"/>
  <c r="G343" i="48"/>
  <c r="G345" i="48"/>
  <c r="G347" i="48"/>
  <c r="H373" i="48"/>
  <c r="H379" i="48"/>
  <c r="H375" i="48"/>
  <c r="H377" i="48"/>
  <c r="H213" i="48"/>
  <c r="H219" i="48"/>
  <c r="H215" i="48"/>
  <c r="H217" i="48"/>
  <c r="O38" i="47"/>
  <c r="AB6" i="49"/>
  <c r="AB10" i="49"/>
  <c r="AB14" i="49"/>
  <c r="AB23" i="49"/>
  <c r="AB32" i="49"/>
  <c r="AB36" i="49"/>
  <c r="AB40" i="49"/>
  <c r="AB7" i="49"/>
  <c r="AB11" i="49"/>
  <c r="AB15" i="49"/>
  <c r="AB24" i="49"/>
  <c r="AB33" i="49"/>
  <c r="AB37" i="49"/>
  <c r="AB8" i="49"/>
  <c r="AB12" i="49"/>
  <c r="AB21" i="49"/>
  <c r="AB25" i="49"/>
  <c r="AB34" i="49"/>
  <c r="AB38" i="49"/>
  <c r="AB9" i="49"/>
  <c r="AB13" i="49"/>
  <c r="AB22" i="49"/>
  <c r="AB31" i="49"/>
  <c r="AB35" i="49"/>
  <c r="AB39" i="49"/>
  <c r="Y6" i="49"/>
  <c r="Y10" i="49"/>
  <c r="Y14" i="49"/>
  <c r="Y23" i="49"/>
  <c r="Y32" i="49"/>
  <c r="Y36" i="49"/>
  <c r="Y40" i="49"/>
  <c r="Y7" i="49"/>
  <c r="Y11" i="49"/>
  <c r="Y15" i="49"/>
  <c r="Y24" i="49"/>
  <c r="Y33" i="49"/>
  <c r="Y37" i="49"/>
  <c r="Y8" i="49"/>
  <c r="Y12" i="49"/>
  <c r="Y21" i="49"/>
  <c r="Y25" i="49"/>
  <c r="Y34" i="49"/>
  <c r="Y38" i="49"/>
  <c r="Y9" i="49"/>
  <c r="Y13" i="49"/>
  <c r="Y22" i="49"/>
  <c r="Y31" i="49"/>
  <c r="Y35" i="49"/>
  <c r="Y39" i="49"/>
  <c r="W8" i="49"/>
  <c r="W12" i="49"/>
  <c r="W21" i="49"/>
  <c r="W25" i="49"/>
  <c r="W34" i="49"/>
  <c r="W9" i="49"/>
  <c r="W6" i="49"/>
  <c r="W10" i="49"/>
  <c r="W14" i="49"/>
  <c r="W23" i="49"/>
  <c r="W32" i="49"/>
  <c r="W13" i="49"/>
  <c r="W31" i="49"/>
  <c r="W37" i="49"/>
  <c r="W15" i="49"/>
  <c r="W33" i="49"/>
  <c r="W38" i="49"/>
  <c r="W7" i="49"/>
  <c r="W22" i="49"/>
  <c r="W35" i="49"/>
  <c r="W39" i="49"/>
  <c r="W11" i="49"/>
  <c r="W24" i="49"/>
  <c r="W36" i="49"/>
  <c r="W40" i="49"/>
  <c r="V7" i="49"/>
  <c r="V11" i="49"/>
  <c r="V15" i="49"/>
  <c r="V24" i="49"/>
  <c r="V33" i="49"/>
  <c r="V37" i="49"/>
  <c r="V8" i="49"/>
  <c r="V12" i="49"/>
  <c r="V21" i="49"/>
  <c r="V25" i="49"/>
  <c r="V34" i="49"/>
  <c r="V38" i="49"/>
  <c r="V9" i="49"/>
  <c r="V13" i="49"/>
  <c r="V22" i="49"/>
  <c r="V31" i="49"/>
  <c r="V35" i="49"/>
  <c r="V39" i="49"/>
  <c r="V6" i="49"/>
  <c r="V32" i="49"/>
  <c r="V10" i="49"/>
  <c r="V36" i="49"/>
  <c r="V14" i="49"/>
  <c r="V40" i="49"/>
  <c r="V23" i="49"/>
  <c r="K76" i="50"/>
  <c r="C110" i="50"/>
  <c r="C98" i="47"/>
  <c r="S309" i="48"/>
  <c r="S315" i="48"/>
  <c r="S310" i="48"/>
  <c r="S311" i="48"/>
  <c r="S313" i="48"/>
  <c r="R362" i="48"/>
  <c r="R278" i="48"/>
  <c r="R283" i="48"/>
  <c r="R277" i="48"/>
  <c r="R281" i="48"/>
  <c r="R279" i="48"/>
  <c r="Q339" i="48"/>
  <c r="Q245" i="48"/>
  <c r="Q249" i="48"/>
  <c r="Q247" i="48"/>
  <c r="Q251" i="48"/>
  <c r="Q118" i="48"/>
  <c r="Q119" i="48"/>
  <c r="Q117" i="48"/>
  <c r="Q121" i="48"/>
  <c r="Q123" i="48"/>
  <c r="P277" i="48"/>
  <c r="P278" i="48"/>
  <c r="P279" i="48"/>
  <c r="P281" i="48"/>
  <c r="P283" i="48"/>
  <c r="O283" i="48"/>
  <c r="O281" i="48"/>
  <c r="O277" i="48"/>
  <c r="O278" i="48"/>
  <c r="O279" i="48"/>
  <c r="N278" i="48"/>
  <c r="N283" i="48"/>
  <c r="N277" i="48"/>
  <c r="N281" i="48"/>
  <c r="N279" i="48"/>
  <c r="N170" i="48"/>
  <c r="M251" i="48"/>
  <c r="M245" i="48"/>
  <c r="M249" i="48"/>
  <c r="M247" i="48"/>
  <c r="M117" i="48"/>
  <c r="M123" i="48"/>
  <c r="M121" i="48"/>
  <c r="M118" i="48"/>
  <c r="M119" i="48"/>
  <c r="L373" i="48"/>
  <c r="L375" i="48"/>
  <c r="L379" i="48"/>
  <c r="L377" i="48"/>
  <c r="L245" i="48"/>
  <c r="L247" i="48"/>
  <c r="L249" i="48"/>
  <c r="L251" i="48"/>
  <c r="L117" i="48"/>
  <c r="L118" i="48"/>
  <c r="L119" i="48"/>
  <c r="L123" i="48"/>
  <c r="L121" i="48"/>
  <c r="L133" i="48" s="1"/>
  <c r="L42" i="48"/>
  <c r="K247" i="48"/>
  <c r="K249" i="48"/>
  <c r="K251" i="48"/>
  <c r="K245" i="48"/>
  <c r="J315" i="48"/>
  <c r="J313" i="48"/>
  <c r="J310" i="48"/>
  <c r="J309" i="48"/>
  <c r="J311" i="48"/>
  <c r="I373" i="48"/>
  <c r="I375" i="48"/>
  <c r="I377" i="48"/>
  <c r="I379" i="48"/>
  <c r="I247" i="48"/>
  <c r="I249" i="48"/>
  <c r="I245" i="48"/>
  <c r="I251" i="48"/>
  <c r="G251" i="48"/>
  <c r="G245" i="48"/>
  <c r="G247" i="48"/>
  <c r="G85" i="48"/>
  <c r="G86" i="48"/>
  <c r="G453" i="48" s="1"/>
  <c r="G87" i="48"/>
  <c r="G89" i="48"/>
  <c r="G510" i="48" s="1"/>
  <c r="G91" i="48"/>
  <c r="G53" i="48"/>
  <c r="G59" i="48"/>
  <c r="G54" i="48"/>
  <c r="G57" i="48"/>
  <c r="G55" i="48"/>
  <c r="H181" i="48"/>
  <c r="H183" i="48"/>
  <c r="H182" i="48"/>
  <c r="H454" i="48" s="1"/>
  <c r="H185" i="48"/>
  <c r="H511" i="48" s="1"/>
  <c r="H187" i="48"/>
  <c r="H117" i="48"/>
  <c r="H119" i="48"/>
  <c r="H118" i="48"/>
  <c r="H121" i="48"/>
  <c r="H123" i="48"/>
  <c r="H53" i="48"/>
  <c r="H54" i="48"/>
  <c r="H57" i="48"/>
  <c r="H55" i="48"/>
  <c r="H59" i="48"/>
  <c r="U6" i="49"/>
  <c r="U10" i="49"/>
  <c r="U14" i="49"/>
  <c r="U23" i="49"/>
  <c r="U32" i="49"/>
  <c r="U36" i="49"/>
  <c r="U40" i="49"/>
  <c r="U7" i="49"/>
  <c r="U11" i="49"/>
  <c r="U15" i="49"/>
  <c r="U24" i="49"/>
  <c r="U33" i="49"/>
  <c r="U37" i="49"/>
  <c r="U8" i="49"/>
  <c r="U12" i="49"/>
  <c r="U21" i="49"/>
  <c r="U25" i="49"/>
  <c r="U34" i="49"/>
  <c r="U38" i="49"/>
  <c r="U9" i="49"/>
  <c r="U13" i="49"/>
  <c r="U22" i="49"/>
  <c r="U31" i="49"/>
  <c r="U35" i="49"/>
  <c r="U39" i="49"/>
  <c r="R245" i="48"/>
  <c r="R247" i="48"/>
  <c r="R251" i="48"/>
  <c r="R249" i="48"/>
  <c r="R119" i="48"/>
  <c r="R123" i="48"/>
  <c r="R118" i="48"/>
  <c r="R121" i="48"/>
  <c r="R117" i="48"/>
  <c r="Q219" i="48"/>
  <c r="Q213" i="48"/>
  <c r="Q215" i="48"/>
  <c r="Q217" i="48"/>
  <c r="P345" i="48"/>
  <c r="P341" i="48"/>
  <c r="P343" i="48"/>
  <c r="P342" i="48"/>
  <c r="P347" i="48"/>
  <c r="P251" i="48"/>
  <c r="P249" i="48"/>
  <c r="P245" i="48"/>
  <c r="P247" i="48"/>
  <c r="P123" i="48"/>
  <c r="P117" i="48"/>
  <c r="P118" i="48"/>
  <c r="P119" i="48"/>
  <c r="P121" i="48"/>
  <c r="O347" i="48"/>
  <c r="O345" i="48"/>
  <c r="O341" i="48"/>
  <c r="O342" i="48"/>
  <c r="O343" i="48"/>
  <c r="O247" i="48"/>
  <c r="O249" i="48"/>
  <c r="O251" i="48"/>
  <c r="O245" i="48"/>
  <c r="O119" i="48"/>
  <c r="O117" i="48"/>
  <c r="O118" i="48"/>
  <c r="O123" i="48"/>
  <c r="O121" i="48"/>
  <c r="N347" i="48"/>
  <c r="N342" i="48"/>
  <c r="N341" i="48"/>
  <c r="N343" i="48"/>
  <c r="N345" i="48"/>
  <c r="N245" i="48"/>
  <c r="N247" i="48"/>
  <c r="N251" i="48"/>
  <c r="N249" i="48"/>
  <c r="N119" i="48"/>
  <c r="N123" i="48"/>
  <c r="N118" i="48"/>
  <c r="N121" i="48"/>
  <c r="N117" i="48"/>
  <c r="M213" i="48"/>
  <c r="M217" i="48"/>
  <c r="M215" i="48"/>
  <c r="M219" i="48"/>
  <c r="M86" i="48"/>
  <c r="M87" i="48"/>
  <c r="M91" i="48"/>
  <c r="M85" i="48"/>
  <c r="M89" i="48"/>
  <c r="L341" i="48"/>
  <c r="L343" i="48"/>
  <c r="L347" i="48"/>
  <c r="L342" i="48"/>
  <c r="L355" i="48" s="1"/>
  <c r="L462" i="48" s="1"/>
  <c r="L611" i="48" s="1"/>
  <c r="L345" i="48"/>
  <c r="M357" i="48" s="1"/>
  <c r="L213" i="48"/>
  <c r="L219" i="48"/>
  <c r="L215" i="48"/>
  <c r="L217" i="48"/>
  <c r="L512" i="48" s="1"/>
  <c r="L85" i="48"/>
  <c r="L87" i="48"/>
  <c r="L86" i="48"/>
  <c r="L91" i="48"/>
  <c r="L89" i="48"/>
  <c r="K213" i="48"/>
  <c r="K215" i="48"/>
  <c r="K219" i="48"/>
  <c r="K217" i="48"/>
  <c r="D724" i="48"/>
  <c r="E724" i="48"/>
  <c r="J279" i="48"/>
  <c r="J278" i="48"/>
  <c r="J283" i="48"/>
  <c r="J277" i="48"/>
  <c r="J281" i="48"/>
  <c r="I342" i="48"/>
  <c r="I347" i="48"/>
  <c r="I345" i="48"/>
  <c r="I341" i="48"/>
  <c r="I343" i="48"/>
  <c r="I215" i="48"/>
  <c r="I219" i="48"/>
  <c r="I217" i="48"/>
  <c r="I512" i="48" s="1"/>
  <c r="I213" i="48"/>
  <c r="G373" i="48"/>
  <c r="G375" i="48"/>
  <c r="G377" i="48"/>
  <c r="G379" i="48"/>
  <c r="G311" i="48"/>
  <c r="G313" i="48"/>
  <c r="G315" i="48"/>
  <c r="G309" i="48"/>
  <c r="G310" i="48"/>
  <c r="G219" i="48"/>
  <c r="G215" i="48"/>
  <c r="G213" i="48"/>
  <c r="H341" i="48"/>
  <c r="H347" i="48"/>
  <c r="H342" i="48"/>
  <c r="H343" i="48"/>
  <c r="H345" i="48"/>
  <c r="H245" i="48"/>
  <c r="H247" i="48"/>
  <c r="H249" i="48"/>
  <c r="H251" i="48"/>
  <c r="I115" i="48"/>
  <c r="J106" i="48"/>
  <c r="AA9" i="49"/>
  <c r="AA13" i="49"/>
  <c r="AA22" i="49"/>
  <c r="AA31" i="49"/>
  <c r="AA35" i="49"/>
  <c r="AA39" i="49"/>
  <c r="AA6" i="49"/>
  <c r="AA10" i="49"/>
  <c r="AA14" i="49"/>
  <c r="AA23" i="49"/>
  <c r="AA32" i="49"/>
  <c r="AA36" i="49"/>
  <c r="AA40" i="49"/>
  <c r="AA7" i="49"/>
  <c r="AA11" i="49"/>
  <c r="AA15" i="49"/>
  <c r="AA24" i="49"/>
  <c r="AA33" i="49"/>
  <c r="AA37" i="49"/>
  <c r="AA8" i="49"/>
  <c r="AA12" i="49"/>
  <c r="AA21" i="49"/>
  <c r="AA25" i="49"/>
  <c r="AA34" i="49"/>
  <c r="AA38" i="49"/>
  <c r="X8" i="49"/>
  <c r="X12" i="49"/>
  <c r="X21" i="49"/>
  <c r="X25" i="49"/>
  <c r="X34" i="49"/>
  <c r="X38" i="49"/>
  <c r="X9" i="49"/>
  <c r="X13" i="49"/>
  <c r="X22" i="49"/>
  <c r="X31" i="49"/>
  <c r="X35" i="49"/>
  <c r="X39" i="49"/>
  <c r="X6" i="49"/>
  <c r="X10" i="49"/>
  <c r="X14" i="49"/>
  <c r="X23" i="49"/>
  <c r="X32" i="49"/>
  <c r="X36" i="49"/>
  <c r="X40" i="49"/>
  <c r="X7" i="49"/>
  <c r="X11" i="49"/>
  <c r="X15" i="49"/>
  <c r="X24" i="49"/>
  <c r="X33" i="49"/>
  <c r="X37" i="49"/>
  <c r="T9" i="49"/>
  <c r="T13" i="49"/>
  <c r="T22" i="49"/>
  <c r="T31" i="49"/>
  <c r="T35" i="49"/>
  <c r="T39" i="49"/>
  <c r="T6" i="49"/>
  <c r="T10" i="49"/>
  <c r="T14" i="49"/>
  <c r="T23" i="49"/>
  <c r="T32" i="49"/>
  <c r="T36" i="49"/>
  <c r="T40" i="49"/>
  <c r="T7" i="49"/>
  <c r="T11" i="49"/>
  <c r="T15" i="49"/>
  <c r="T24" i="49"/>
  <c r="T33" i="49"/>
  <c r="T37" i="49"/>
  <c r="T8" i="49"/>
  <c r="T12" i="49"/>
  <c r="T21" i="49"/>
  <c r="T25" i="49"/>
  <c r="T34" i="49"/>
  <c r="T38" i="49"/>
  <c r="H689" i="48"/>
  <c r="T679" i="48"/>
  <c r="T670" i="48"/>
  <c r="H676" i="48"/>
  <c r="J681" i="48"/>
  <c r="K667" i="48"/>
  <c r="K687" i="48"/>
  <c r="M671" i="48"/>
  <c r="T674" i="48"/>
  <c r="H671" i="48"/>
  <c r="H687" i="48"/>
  <c r="H688" i="48"/>
  <c r="I687" i="48"/>
  <c r="J685" i="48"/>
  <c r="J687" i="48"/>
  <c r="L685" i="48"/>
  <c r="T666" i="48"/>
  <c r="H667" i="48"/>
  <c r="H685" i="48"/>
  <c r="I667" i="48"/>
  <c r="I688" i="48"/>
  <c r="J676" i="48"/>
  <c r="T684" i="48"/>
  <c r="H681" i="48"/>
  <c r="I671" i="48"/>
  <c r="I676" i="48"/>
  <c r="I681" i="48"/>
  <c r="I685" i="48"/>
  <c r="J688" i="48"/>
  <c r="K671" i="48"/>
  <c r="K685" i="48"/>
  <c r="K688" i="48"/>
  <c r="M688" i="48"/>
  <c r="N688" i="48"/>
  <c r="O687" i="48"/>
  <c r="P681" i="48"/>
  <c r="R667" i="48"/>
  <c r="R685" i="48"/>
  <c r="R687" i="48"/>
  <c r="S667" i="48"/>
  <c r="S685" i="48"/>
  <c r="S687" i="48"/>
  <c r="L688" i="48"/>
  <c r="O671" i="48"/>
  <c r="O681" i="48"/>
  <c r="P676" i="48"/>
  <c r="P687" i="48"/>
  <c r="P688" i="48"/>
  <c r="Q687" i="48"/>
  <c r="R671" i="48"/>
  <c r="S671" i="48"/>
  <c r="T667" i="48"/>
  <c r="T676" i="48"/>
  <c r="T685" i="48"/>
  <c r="T687" i="48"/>
  <c r="N687" i="48"/>
  <c r="P671" i="48"/>
  <c r="Q667" i="48"/>
  <c r="Q671" i="48"/>
  <c r="Q676" i="48"/>
  <c r="Q681" i="48"/>
  <c r="Q685" i="48"/>
  <c r="Q688" i="48"/>
  <c r="R676" i="48"/>
  <c r="R688" i="48"/>
  <c r="S676" i="48"/>
  <c r="S688" i="48"/>
  <c r="L687" i="48"/>
  <c r="M687" i="48"/>
  <c r="O667" i="48"/>
  <c r="O676" i="48"/>
  <c r="O688" i="48"/>
  <c r="P667" i="48"/>
  <c r="P685" i="48"/>
  <c r="R681" i="48"/>
  <c r="S681" i="48"/>
  <c r="T671" i="48"/>
  <c r="T681" i="48"/>
  <c r="M17" i="46"/>
  <c r="M18" i="46" s="1"/>
  <c r="M18" i="45" s="1"/>
  <c r="M56" i="45" s="1"/>
  <c r="M93" i="45" s="1"/>
  <c r="M15" i="46"/>
  <c r="R8" i="49"/>
  <c r="R12" i="49"/>
  <c r="R21" i="49"/>
  <c r="R25" i="49"/>
  <c r="R35" i="49"/>
  <c r="R39" i="49"/>
  <c r="R9" i="49"/>
  <c r="R13" i="49"/>
  <c r="R22" i="49"/>
  <c r="R31" i="49"/>
  <c r="R36" i="49"/>
  <c r="R40" i="49"/>
  <c r="R6" i="49"/>
  <c r="R10" i="49"/>
  <c r="R14" i="49"/>
  <c r="R23" i="49"/>
  <c r="R32" i="49"/>
  <c r="R37" i="49"/>
  <c r="R7" i="49"/>
  <c r="R11" i="49"/>
  <c r="R15" i="49"/>
  <c r="R24" i="49"/>
  <c r="R33" i="49"/>
  <c r="R38" i="49"/>
  <c r="E112" i="50"/>
  <c r="E48" i="80"/>
  <c r="E50" i="80" s="1"/>
  <c r="F48" i="80" s="1"/>
  <c r="F50" i="80" s="1"/>
  <c r="G48" i="80" s="1"/>
  <c r="G50" i="80" s="1"/>
  <c r="H48" i="80" s="1"/>
  <c r="H50" i="80" s="1"/>
  <c r="I48" i="80" s="1"/>
  <c r="I50" i="80" s="1"/>
  <c r="J48" i="80" s="1"/>
  <c r="J50" i="80" s="1"/>
  <c r="K48" i="80" s="1"/>
  <c r="K50" i="80" s="1"/>
  <c r="L48" i="80" s="1"/>
  <c r="L50" i="80" s="1"/>
  <c r="M48" i="80" s="1"/>
  <c r="M50" i="80" s="1"/>
  <c r="N48" i="80" s="1"/>
  <c r="N50" i="80" s="1"/>
  <c r="O48" i="80" s="1"/>
  <c r="O50" i="80" s="1"/>
  <c r="P48" i="80" s="1"/>
  <c r="P52" i="80" s="1"/>
  <c r="S245" i="48"/>
  <c r="S249" i="48"/>
  <c r="S247" i="48"/>
  <c r="S251" i="48"/>
  <c r="S118" i="48"/>
  <c r="S119" i="48"/>
  <c r="S117" i="48"/>
  <c r="S123" i="48"/>
  <c r="S121" i="48"/>
  <c r="R215" i="48"/>
  <c r="R217" i="48"/>
  <c r="R512" i="48" s="1"/>
  <c r="R213" i="48"/>
  <c r="R219" i="48"/>
  <c r="Q310" i="48"/>
  <c r="Q309" i="48"/>
  <c r="Q315" i="48"/>
  <c r="Q311" i="48"/>
  <c r="Q313" i="48"/>
  <c r="Q74" i="48"/>
  <c r="P215" i="48"/>
  <c r="P213" i="48"/>
  <c r="P219" i="48"/>
  <c r="P217" i="48"/>
  <c r="O213" i="48"/>
  <c r="O215" i="48"/>
  <c r="O219" i="48"/>
  <c r="O217" i="48"/>
  <c r="N215" i="48"/>
  <c r="N217" i="48"/>
  <c r="N512" i="48" s="1"/>
  <c r="N213" i="48"/>
  <c r="N219" i="48"/>
  <c r="C814" i="48"/>
  <c r="M311" i="48"/>
  <c r="M313" i="48"/>
  <c r="M309" i="48"/>
  <c r="M315" i="48"/>
  <c r="M310" i="48"/>
  <c r="L310" i="48"/>
  <c r="L313" i="48"/>
  <c r="L325" i="48" s="1"/>
  <c r="L311" i="48"/>
  <c r="L309" i="48"/>
  <c r="L315" i="48"/>
  <c r="K311" i="48"/>
  <c r="K309" i="48"/>
  <c r="K310" i="48"/>
  <c r="K323" i="48" s="1"/>
  <c r="K462" i="48" s="1"/>
  <c r="K611" i="48" s="1"/>
  <c r="K315" i="48"/>
  <c r="K313" i="48"/>
  <c r="J373" i="48"/>
  <c r="J379" i="48"/>
  <c r="J377" i="48"/>
  <c r="J375" i="48"/>
  <c r="J249" i="48"/>
  <c r="J261" i="48" s="1"/>
  <c r="J245" i="48"/>
  <c r="J247" i="48"/>
  <c r="J251" i="48"/>
  <c r="K51" i="50"/>
  <c r="T5" i="50"/>
  <c r="S5" i="50"/>
  <c r="Z9" i="49"/>
  <c r="Z13" i="49"/>
  <c r="Z22" i="49"/>
  <c r="Z31" i="49"/>
  <c r="Z35" i="49"/>
  <c r="Z39" i="49"/>
  <c r="Z6" i="49"/>
  <c r="Z10" i="49"/>
  <c r="Z14" i="49"/>
  <c r="Z23" i="49"/>
  <c r="Z32" i="49"/>
  <c r="Z36" i="49"/>
  <c r="Z40" i="49"/>
  <c r="Z7" i="49"/>
  <c r="Z11" i="49"/>
  <c r="Z15" i="49"/>
  <c r="Z24" i="49"/>
  <c r="Z33" i="49"/>
  <c r="Z37" i="49"/>
  <c r="Z8" i="49"/>
  <c r="Z12" i="49"/>
  <c r="Z21" i="49"/>
  <c r="Z25" i="49"/>
  <c r="Z34" i="49"/>
  <c r="Z38" i="49"/>
  <c r="S8" i="49"/>
  <c r="S12" i="49"/>
  <c r="S21" i="49"/>
  <c r="S25" i="49"/>
  <c r="S35" i="49"/>
  <c r="S39" i="49"/>
  <c r="S9" i="49"/>
  <c r="S13" i="49"/>
  <c r="S22" i="49"/>
  <c r="S31" i="49"/>
  <c r="S36" i="49"/>
  <c r="S40" i="49"/>
  <c r="S6" i="49"/>
  <c r="S10" i="49"/>
  <c r="S14" i="49"/>
  <c r="S23" i="49"/>
  <c r="S32" i="49"/>
  <c r="S37" i="49"/>
  <c r="S7" i="49"/>
  <c r="S11" i="49"/>
  <c r="S15" i="49"/>
  <c r="S24" i="49"/>
  <c r="S33" i="49"/>
  <c r="S38" i="49"/>
  <c r="G659" i="48"/>
  <c r="G595" i="48" s="1"/>
  <c r="H641" i="48"/>
  <c r="H657" i="48"/>
  <c r="H593" i="48" s="1"/>
  <c r="H33" i="50" s="1"/>
  <c r="H658" i="48"/>
  <c r="I657" i="48"/>
  <c r="J655" i="48"/>
  <c r="J657" i="48"/>
  <c r="L641" i="48"/>
  <c r="H637" i="48"/>
  <c r="H573" i="48" s="1"/>
  <c r="H655" i="48"/>
  <c r="H591" i="48" s="1"/>
  <c r="I658" i="48"/>
  <c r="H651" i="48"/>
  <c r="I646" i="48"/>
  <c r="I651" i="48"/>
  <c r="I655" i="48"/>
  <c r="J637" i="48"/>
  <c r="J658" i="48"/>
  <c r="K641" i="48"/>
  <c r="K655" i="48"/>
  <c r="K658" i="48"/>
  <c r="L657" i="48"/>
  <c r="L658" i="48"/>
  <c r="H646" i="48"/>
  <c r="J641" i="48"/>
  <c r="K657" i="48"/>
  <c r="N637" i="48"/>
  <c r="O641" i="48"/>
  <c r="O651" i="48"/>
  <c r="P646" i="48"/>
  <c r="P657" i="48"/>
  <c r="P658" i="48"/>
  <c r="Q657" i="48"/>
  <c r="R641" i="48"/>
  <c r="N641" i="48"/>
  <c r="N657" i="48"/>
  <c r="P641" i="48"/>
  <c r="Q637" i="48"/>
  <c r="Q641" i="48"/>
  <c r="Q646" i="48"/>
  <c r="Q651" i="48"/>
  <c r="Q655" i="48"/>
  <c r="Q658" i="48"/>
  <c r="R646" i="48"/>
  <c r="R658" i="48"/>
  <c r="M657" i="48"/>
  <c r="N646" i="48"/>
  <c r="O637" i="48"/>
  <c r="O646" i="48"/>
  <c r="O655" i="48"/>
  <c r="O658" i="48"/>
  <c r="P637" i="48"/>
  <c r="P655" i="48"/>
  <c r="R651" i="48"/>
  <c r="M658" i="48"/>
  <c r="N651" i="48"/>
  <c r="N658" i="48"/>
  <c r="O657" i="48"/>
  <c r="P651" i="48"/>
  <c r="R637" i="48"/>
  <c r="R655" i="48"/>
  <c r="R657" i="48"/>
  <c r="H84" i="50"/>
  <c r="H108" i="50" s="1"/>
  <c r="U92" i="50"/>
  <c r="D9" i="81"/>
  <c r="D51" i="81"/>
  <c r="D48" i="81" s="1"/>
  <c r="D47" i="81" s="1"/>
  <c r="D91" i="81" s="1"/>
  <c r="Q81" i="50"/>
  <c r="Q56" i="50" s="1"/>
  <c r="N46" i="79" s="1"/>
  <c r="O92" i="50"/>
  <c r="O42" i="80"/>
  <c r="O68" i="80" s="1"/>
  <c r="C51" i="81"/>
  <c r="C48" i="81" s="1"/>
  <c r="C47" i="81" s="1"/>
  <c r="C91" i="81" s="1"/>
  <c r="C93" i="81" s="1"/>
  <c r="E75" i="81"/>
  <c r="D71" i="81"/>
  <c r="D67" i="81" s="1"/>
  <c r="L81" i="50"/>
  <c r="L56" i="50" s="1"/>
  <c r="I46" i="79" s="1"/>
  <c r="N81" i="50"/>
  <c r="N56" i="50" s="1"/>
  <c r="K46" i="79" s="1"/>
  <c r="I81" i="50"/>
  <c r="I56" i="50" s="1"/>
  <c r="M81" i="50"/>
  <c r="M56" i="50" s="1"/>
  <c r="J46" i="79" s="1"/>
  <c r="K81" i="50"/>
  <c r="K56" i="50" s="1"/>
  <c r="H46" i="79" s="1"/>
  <c r="J81" i="50"/>
  <c r="J56" i="50" s="1"/>
  <c r="G46" i="79" s="1"/>
  <c r="D3" i="81"/>
  <c r="D2" i="81" s="1"/>
  <c r="G23" i="81"/>
  <c r="I38" i="81"/>
  <c r="H36" i="81"/>
  <c r="H73" i="81"/>
  <c r="H35" i="81"/>
  <c r="G33" i="81"/>
  <c r="G32" i="81" s="1"/>
  <c r="K6" i="81"/>
  <c r="O6" i="81"/>
  <c r="P6" i="81"/>
  <c r="P33" i="81"/>
  <c r="Q34" i="81"/>
  <c r="Q33" i="81" s="1"/>
  <c r="E22" i="81"/>
  <c r="L6" i="81"/>
  <c r="M6" i="81"/>
  <c r="E20" i="81"/>
  <c r="M52" i="80" l="1"/>
  <c r="O81" i="50"/>
  <c r="O56" i="50" s="1"/>
  <c r="L46" i="79" s="1"/>
  <c r="H577" i="48"/>
  <c r="G14" i="1"/>
  <c r="L171" i="56"/>
  <c r="O207" i="45" s="1"/>
  <c r="O211" i="45" s="1"/>
  <c r="P171" i="56"/>
  <c r="S207" i="45" s="1"/>
  <c r="S211" i="45" s="1"/>
  <c r="U81" i="50"/>
  <c r="U56" i="50" s="1"/>
  <c r="R46" i="79" s="1"/>
  <c r="R47" i="79"/>
  <c r="H587" i="48"/>
  <c r="H594" i="48"/>
  <c r="H34" i="50" s="1"/>
  <c r="H35" i="50" s="1"/>
  <c r="I93" i="50"/>
  <c r="H96" i="50"/>
  <c r="H582" i="48"/>
  <c r="O52" i="80"/>
  <c r="N169" i="56"/>
  <c r="M171" i="56"/>
  <c r="P207" i="45" s="1"/>
  <c r="P211" i="45" s="1"/>
  <c r="G224" i="52"/>
  <c r="I108" i="50"/>
  <c r="G41" i="79"/>
  <c r="J129" i="50"/>
  <c r="L41" i="79"/>
  <c r="O129" i="50"/>
  <c r="T40" i="79"/>
  <c r="W128" i="50"/>
  <c r="R41" i="79"/>
  <c r="U129" i="50"/>
  <c r="S44" i="49"/>
  <c r="I41" i="50" s="1"/>
  <c r="J518" i="48"/>
  <c r="K261" i="48"/>
  <c r="R44" i="49"/>
  <c r="H41" i="50" s="1"/>
  <c r="G470" i="48"/>
  <c r="G476" i="48"/>
  <c r="I470" i="48"/>
  <c r="I476" i="48"/>
  <c r="W749" i="48"/>
  <c r="Y749" i="48"/>
  <c r="X749" i="48"/>
  <c r="V749" i="48"/>
  <c r="J749" i="48"/>
  <c r="J736" i="48"/>
  <c r="K736" i="48"/>
  <c r="J727" i="48"/>
  <c r="J748" i="48"/>
  <c r="K731" i="48"/>
  <c r="K745" i="48"/>
  <c r="K748" i="48"/>
  <c r="L747" i="48"/>
  <c r="L748" i="48"/>
  <c r="M727" i="48"/>
  <c r="M745" i="48"/>
  <c r="J731" i="48"/>
  <c r="J741" i="48"/>
  <c r="K727" i="48"/>
  <c r="K747" i="48"/>
  <c r="M731" i="48"/>
  <c r="J745" i="48"/>
  <c r="J747" i="48"/>
  <c r="K741" i="48"/>
  <c r="N731" i="48"/>
  <c r="N745" i="48"/>
  <c r="N747" i="48"/>
  <c r="Q727" i="48"/>
  <c r="Q731" i="48"/>
  <c r="Q736" i="48"/>
  <c r="Q741" i="48"/>
  <c r="Q748" i="48"/>
  <c r="R736" i="48"/>
  <c r="R748" i="48"/>
  <c r="S736" i="48"/>
  <c r="S748" i="48"/>
  <c r="L736" i="48"/>
  <c r="L745" i="48"/>
  <c r="M747" i="48"/>
  <c r="O748" i="48"/>
  <c r="R741" i="48"/>
  <c r="S741" i="48"/>
  <c r="T731" i="48"/>
  <c r="T741" i="48"/>
  <c r="T748" i="48"/>
  <c r="M748" i="48"/>
  <c r="N748" i="48"/>
  <c r="O747" i="48"/>
  <c r="R727" i="48"/>
  <c r="R745" i="48"/>
  <c r="R747" i="48"/>
  <c r="S727" i="48"/>
  <c r="S745" i="48"/>
  <c r="S747" i="48"/>
  <c r="L741" i="48"/>
  <c r="O731" i="48"/>
  <c r="P747" i="48"/>
  <c r="P748" i="48"/>
  <c r="Q747" i="48"/>
  <c r="R731" i="48"/>
  <c r="S731" i="48"/>
  <c r="T727" i="48"/>
  <c r="T736" i="48"/>
  <c r="T745" i="48"/>
  <c r="T747" i="48"/>
  <c r="U736" i="48"/>
  <c r="U731" i="48"/>
  <c r="U741" i="48"/>
  <c r="U747" i="48"/>
  <c r="U748" i="48"/>
  <c r="J750" i="48"/>
  <c r="L750" i="48"/>
  <c r="U727" i="48"/>
  <c r="N750" i="48"/>
  <c r="U745" i="48"/>
  <c r="K750" i="48"/>
  <c r="M750" i="48"/>
  <c r="L476" i="48"/>
  <c r="L470" i="48"/>
  <c r="H469" i="48"/>
  <c r="H475" i="48"/>
  <c r="N513" i="48"/>
  <c r="N624" i="48" s="1"/>
  <c r="Q744" i="48" s="1"/>
  <c r="W44" i="49"/>
  <c r="M41" i="50" s="1"/>
  <c r="AB44" i="49"/>
  <c r="R41" i="50" s="1"/>
  <c r="AD44" i="49"/>
  <c r="T41" i="50" s="1"/>
  <c r="L809" i="48"/>
  <c r="M791" i="48"/>
  <c r="S804" i="48"/>
  <c r="L787" i="48"/>
  <c r="L791" i="48"/>
  <c r="L796" i="48"/>
  <c r="L801" i="48"/>
  <c r="L805" i="48"/>
  <c r="M796" i="48"/>
  <c r="M801" i="48"/>
  <c r="L807" i="48"/>
  <c r="M808" i="48"/>
  <c r="N801" i="48"/>
  <c r="N808" i="48"/>
  <c r="O807" i="48"/>
  <c r="R807" i="48"/>
  <c r="S787" i="48"/>
  <c r="S807" i="48"/>
  <c r="O791" i="48"/>
  <c r="P807" i="48"/>
  <c r="P808" i="48"/>
  <c r="Q807" i="48"/>
  <c r="S791" i="48"/>
  <c r="T787" i="48"/>
  <c r="T796" i="48"/>
  <c r="T805" i="48"/>
  <c r="T807" i="48"/>
  <c r="L808" i="48"/>
  <c r="M787" i="48"/>
  <c r="N805" i="48"/>
  <c r="N807" i="48"/>
  <c r="P791" i="48"/>
  <c r="Q791" i="48"/>
  <c r="Q808" i="48"/>
  <c r="R808" i="48"/>
  <c r="S796" i="48"/>
  <c r="S808" i="48"/>
  <c r="M805" i="48"/>
  <c r="M807" i="48"/>
  <c r="N796" i="48"/>
  <c r="O787" i="48"/>
  <c r="O805" i="48"/>
  <c r="O808" i="48"/>
  <c r="P805" i="48"/>
  <c r="S801" i="48"/>
  <c r="T791" i="48"/>
  <c r="T801" i="48"/>
  <c r="T808" i="48"/>
  <c r="V801" i="48"/>
  <c r="U787" i="48"/>
  <c r="U805" i="48"/>
  <c r="V796" i="48"/>
  <c r="U801" i="48"/>
  <c r="U807" i="48"/>
  <c r="U808" i="48"/>
  <c r="V787" i="48"/>
  <c r="V805" i="48"/>
  <c r="V807" i="48"/>
  <c r="V808" i="48"/>
  <c r="U791" i="48"/>
  <c r="W791" i="48"/>
  <c r="W801" i="48"/>
  <c r="V791" i="48"/>
  <c r="W807" i="48"/>
  <c r="W808" i="48"/>
  <c r="M810" i="48"/>
  <c r="U796" i="48"/>
  <c r="W787" i="48"/>
  <c r="W796" i="48"/>
  <c r="W805" i="48"/>
  <c r="O810" i="48"/>
  <c r="P810" i="48"/>
  <c r="L810" i="48"/>
  <c r="N810" i="48"/>
  <c r="M471" i="48"/>
  <c r="M614" i="48" s="1"/>
  <c r="M477" i="48"/>
  <c r="M615" i="48" s="1"/>
  <c r="M441" i="48"/>
  <c r="M606" i="48" s="1"/>
  <c r="P726" i="48" s="1"/>
  <c r="M386" i="48"/>
  <c r="M447" i="48" s="1"/>
  <c r="N441" i="48"/>
  <c r="N606" i="48" s="1"/>
  <c r="N519" i="48"/>
  <c r="N381" i="48"/>
  <c r="N423" i="48" s="1"/>
  <c r="N430" i="48" s="1"/>
  <c r="S476" i="48"/>
  <c r="S470" i="48"/>
  <c r="E38" i="80"/>
  <c r="F109" i="50"/>
  <c r="R91" i="45"/>
  <c r="R138" i="45"/>
  <c r="R149" i="45" s="1"/>
  <c r="G439" i="48"/>
  <c r="K475" i="48"/>
  <c r="K469" i="48"/>
  <c r="L475" i="48"/>
  <c r="L469" i="48"/>
  <c r="L439" i="48"/>
  <c r="M475" i="48"/>
  <c r="M469" i="48"/>
  <c r="P510" i="48"/>
  <c r="P438" i="48"/>
  <c r="Y124" i="45"/>
  <c r="X138" i="45"/>
  <c r="X149" i="45" s="1"/>
  <c r="J342" i="48"/>
  <c r="J341" i="48"/>
  <c r="J343" i="48"/>
  <c r="J345" i="48"/>
  <c r="J347" i="48"/>
  <c r="K457" i="48"/>
  <c r="H468" i="48"/>
  <c r="H474" i="48"/>
  <c r="H100" i="48"/>
  <c r="O5" i="47"/>
  <c r="T5" i="47"/>
  <c r="Z5" i="47" s="1"/>
  <c r="O453" i="48"/>
  <c r="D521" i="48"/>
  <c r="C122" i="52"/>
  <c r="F122" i="52" s="1"/>
  <c r="G122" i="52" s="1"/>
  <c r="C22" i="52"/>
  <c r="U309" i="48"/>
  <c r="D33" i="51"/>
  <c r="H26" i="51"/>
  <c r="H27" i="51" s="1"/>
  <c r="E150" i="52"/>
  <c r="F150" i="52" s="1"/>
  <c r="G150" i="52" s="1"/>
  <c r="C150" i="52"/>
  <c r="U310" i="48"/>
  <c r="AA310" i="48"/>
  <c r="Z310" i="48"/>
  <c r="X310" i="48"/>
  <c r="Y310" i="48"/>
  <c r="I181" i="48"/>
  <c r="N453" i="48"/>
  <c r="K35" i="51"/>
  <c r="G655" i="48"/>
  <c r="G591" i="48" s="1"/>
  <c r="G658" i="48"/>
  <c r="G594" i="48" s="1"/>
  <c r="G657" i="48"/>
  <c r="G593" i="48" s="1"/>
  <c r="D49" i="51"/>
  <c r="I41" i="79"/>
  <c r="L129" i="50"/>
  <c r="M41" i="79"/>
  <c r="P129" i="50"/>
  <c r="E277" i="52"/>
  <c r="F277" i="52" s="1"/>
  <c r="G277" i="52" s="1"/>
  <c r="T41" i="79"/>
  <c r="J12" i="1"/>
  <c r="W129" i="50"/>
  <c r="F124" i="52"/>
  <c r="Q73" i="48"/>
  <c r="P77" i="48"/>
  <c r="P79" i="48" s="1"/>
  <c r="P75" i="48"/>
  <c r="X119" i="48"/>
  <c r="AA119" i="48"/>
  <c r="Z119" i="48"/>
  <c r="Y119" i="48"/>
  <c r="O41" i="79"/>
  <c r="I12" i="1"/>
  <c r="R129" i="50"/>
  <c r="K43" i="48"/>
  <c r="L41" i="48"/>
  <c r="M41" i="48" s="1"/>
  <c r="N41" i="48" s="1"/>
  <c r="O41" i="48" s="1"/>
  <c r="P41" i="48" s="1"/>
  <c r="Q41" i="48" s="1"/>
  <c r="R41" i="48" s="1"/>
  <c r="S41" i="48" s="1"/>
  <c r="T41" i="48" s="1"/>
  <c r="U41" i="48" s="1"/>
  <c r="V41" i="48" s="1"/>
  <c r="W41" i="48" s="1"/>
  <c r="X41" i="48" s="1"/>
  <c r="Y41" i="48" s="1"/>
  <c r="Z41" i="48" s="1"/>
  <c r="AA41" i="48" s="1"/>
  <c r="Q206" i="48"/>
  <c r="P207" i="48"/>
  <c r="K171" i="48"/>
  <c r="L169" i="48"/>
  <c r="H76" i="50"/>
  <c r="H32" i="80"/>
  <c r="I7" i="47"/>
  <c r="AC140" i="45"/>
  <c r="AC151" i="45" s="1"/>
  <c r="AD128" i="45"/>
  <c r="E19" i="81"/>
  <c r="P3" i="79"/>
  <c r="P30" i="79" s="1"/>
  <c r="S107" i="50"/>
  <c r="S123" i="50"/>
  <c r="L519" i="48"/>
  <c r="L317" i="48"/>
  <c r="N476" i="48"/>
  <c r="N470" i="48"/>
  <c r="O476" i="48"/>
  <c r="O470" i="48"/>
  <c r="P470" i="48"/>
  <c r="P476" i="48"/>
  <c r="Q83" i="48"/>
  <c r="R74" i="48"/>
  <c r="Q75" i="48"/>
  <c r="R78" i="48"/>
  <c r="M13" i="46"/>
  <c r="M15" i="45"/>
  <c r="M53" i="45" s="1"/>
  <c r="T44" i="49"/>
  <c r="J41" i="50" s="1"/>
  <c r="X44" i="49"/>
  <c r="N41" i="50" s="1"/>
  <c r="AA44" i="49"/>
  <c r="Q41" i="50" s="1"/>
  <c r="K106" i="48"/>
  <c r="J115" i="48"/>
  <c r="J107" i="48"/>
  <c r="J110" i="48"/>
  <c r="K512" i="48"/>
  <c r="M510" i="48"/>
  <c r="M474" i="48"/>
  <c r="M468" i="48"/>
  <c r="M512" i="48"/>
  <c r="U44" i="49"/>
  <c r="K41" i="50" s="1"/>
  <c r="G468" i="48"/>
  <c r="G474" i="48"/>
  <c r="J52" i="80"/>
  <c r="O513" i="48"/>
  <c r="O624" i="48" s="1"/>
  <c r="G42" i="56"/>
  <c r="D103" i="50"/>
  <c r="E103" i="50" s="1"/>
  <c r="F103" i="50" s="1"/>
  <c r="G103" i="50" s="1"/>
  <c r="C100" i="47"/>
  <c r="P38" i="47"/>
  <c r="T46" i="45"/>
  <c r="AC44" i="49"/>
  <c r="S41" i="50" s="1"/>
  <c r="J59" i="50"/>
  <c r="J512" i="48"/>
  <c r="D512" i="48" s="1"/>
  <c r="M293" i="48"/>
  <c r="M285" i="48" s="1"/>
  <c r="M513" i="48"/>
  <c r="M624" i="48" s="1"/>
  <c r="P744" i="48" s="1"/>
  <c r="M388" i="48"/>
  <c r="O441" i="48"/>
  <c r="O606" i="48" s="1"/>
  <c r="T786" i="48" s="1"/>
  <c r="I41" i="47"/>
  <c r="N49" i="45" s="1"/>
  <c r="J40" i="47"/>
  <c r="W138" i="45"/>
  <c r="W149" i="45" s="1"/>
  <c r="W91" i="45"/>
  <c r="K454" i="48"/>
  <c r="M439" i="48"/>
  <c r="L457" i="48"/>
  <c r="J101" i="48"/>
  <c r="K101" i="48"/>
  <c r="I101" i="48"/>
  <c r="I516" i="48" s="1"/>
  <c r="T91" i="45"/>
  <c r="T138" i="45"/>
  <c r="T149" i="45" s="1"/>
  <c r="H510" i="48"/>
  <c r="U122" i="45"/>
  <c r="V91" i="45"/>
  <c r="V138" i="45"/>
  <c r="V149" i="45" s="1"/>
  <c r="T512" i="48"/>
  <c r="F227" i="52"/>
  <c r="G227" i="52" s="1"/>
  <c r="E222" i="52"/>
  <c r="C247" i="52"/>
  <c r="W117" i="48"/>
  <c r="Y117" i="48"/>
  <c r="C97" i="52"/>
  <c r="Z117" i="48"/>
  <c r="AA117" i="48"/>
  <c r="X117" i="48"/>
  <c r="V117" i="48"/>
  <c r="F41" i="79"/>
  <c r="I129" i="50"/>
  <c r="F99" i="52"/>
  <c r="I267" i="48"/>
  <c r="H266" i="48" s="1"/>
  <c r="I275" i="48"/>
  <c r="N468" i="48"/>
  <c r="N474" i="48"/>
  <c r="G217" i="48"/>
  <c r="U217" i="48"/>
  <c r="U512" i="48" s="1"/>
  <c r="W217" i="48"/>
  <c r="Z217" i="48"/>
  <c r="Y217" i="48"/>
  <c r="Y512" i="48" s="1"/>
  <c r="X217" i="48"/>
  <c r="X512" i="48" s="1"/>
  <c r="AA217" i="48"/>
  <c r="G21" i="48"/>
  <c r="G27" i="48"/>
  <c r="G22" i="48"/>
  <c r="G452" i="48" s="1"/>
  <c r="G25" i="48"/>
  <c r="G509" i="48" s="1"/>
  <c r="G23" i="48"/>
  <c r="D42" i="51"/>
  <c r="F149" i="52"/>
  <c r="E147" i="52"/>
  <c r="F24" i="52"/>
  <c r="F276" i="52"/>
  <c r="G276" i="52" s="1"/>
  <c r="F27" i="52"/>
  <c r="G27" i="52" s="1"/>
  <c r="E22" i="52"/>
  <c r="F249" i="52"/>
  <c r="K43" i="45"/>
  <c r="K81" i="45"/>
  <c r="C14" i="79" s="1"/>
  <c r="C10" i="79"/>
  <c r="F225" i="52"/>
  <c r="G225" i="52" s="1"/>
  <c r="F250" i="52"/>
  <c r="G250" i="52" s="1"/>
  <c r="E247" i="52"/>
  <c r="S41" i="79"/>
  <c r="V129" i="50"/>
  <c r="K175" i="48"/>
  <c r="L174" i="48"/>
  <c r="R331" i="48"/>
  <c r="S329" i="48"/>
  <c r="Q361" i="48"/>
  <c r="P363" i="48"/>
  <c r="Q365" i="48"/>
  <c r="Q367" i="48" s="1"/>
  <c r="J143" i="45"/>
  <c r="J156" i="45"/>
  <c r="J160" i="45" s="1"/>
  <c r="J163" i="45" s="1"/>
  <c r="G52" i="80"/>
  <c r="F32" i="80"/>
  <c r="I35" i="81"/>
  <c r="H33" i="81"/>
  <c r="H32" i="81" s="1"/>
  <c r="H23" i="81"/>
  <c r="Q3" i="79"/>
  <c r="Q30" i="79" s="1"/>
  <c r="T107" i="50"/>
  <c r="T123" i="50"/>
  <c r="J260" i="48"/>
  <c r="K322" i="48"/>
  <c r="K447" i="48" s="1"/>
  <c r="P512" i="48"/>
  <c r="R476" i="48"/>
  <c r="R470" i="48"/>
  <c r="M17" i="45"/>
  <c r="M16" i="46"/>
  <c r="I118" i="48"/>
  <c r="I453" i="48" s="1"/>
  <c r="I123" i="48"/>
  <c r="I121" i="48"/>
  <c r="I510" i="48" s="1"/>
  <c r="I117" i="48"/>
  <c r="I119" i="48"/>
  <c r="J292" i="48"/>
  <c r="J483" i="48" s="1"/>
  <c r="L354" i="48"/>
  <c r="L447" i="48" s="1"/>
  <c r="M438" i="48"/>
  <c r="M453" i="48"/>
  <c r="Q512" i="48"/>
  <c r="H439" i="48"/>
  <c r="L52" i="80"/>
  <c r="M42" i="48"/>
  <c r="L51" i="48"/>
  <c r="L43" i="48"/>
  <c r="M46" i="48"/>
  <c r="M47" i="48" s="1"/>
  <c r="O170" i="48"/>
  <c r="N179" i="48"/>
  <c r="O477" i="48"/>
  <c r="O615" i="48" s="1"/>
  <c r="T795" i="48" s="1"/>
  <c r="O471" i="48"/>
  <c r="O614" i="48" s="1"/>
  <c r="P513" i="48"/>
  <c r="P624" i="48" s="1"/>
  <c r="S744" i="48" s="1"/>
  <c r="Q342" i="48"/>
  <c r="Q343" i="48"/>
  <c r="Q477" i="48" s="1"/>
  <c r="Q615" i="48" s="1"/>
  <c r="Q341" i="48"/>
  <c r="Q345" i="48"/>
  <c r="Q513" i="48" s="1"/>
  <c r="Q624" i="48" s="1"/>
  <c r="Q347" i="48"/>
  <c r="R371" i="48"/>
  <c r="S362" i="48"/>
  <c r="S366" i="48"/>
  <c r="E110" i="50"/>
  <c r="E41" i="80"/>
  <c r="G41" i="56"/>
  <c r="F42" i="56" s="1"/>
  <c r="J476" i="48"/>
  <c r="J470" i="48"/>
  <c r="P441" i="48"/>
  <c r="P606" i="48" s="1"/>
  <c r="M86" i="45"/>
  <c r="S91" i="45"/>
  <c r="S138" i="45"/>
  <c r="S149" i="45" s="1"/>
  <c r="J469" i="48"/>
  <c r="J475" i="48"/>
  <c r="L511" i="48"/>
  <c r="P453" i="48"/>
  <c r="I307" i="48"/>
  <c r="I299" i="48"/>
  <c r="H298" i="48" s="1"/>
  <c r="N12" i="46"/>
  <c r="M10" i="45"/>
  <c r="M31" i="46"/>
  <c r="H453" i="48"/>
  <c r="R26" i="47"/>
  <c r="V184" i="45"/>
  <c r="V122" i="45" s="1"/>
  <c r="K52" i="80"/>
  <c r="O510" i="48"/>
  <c r="T470" i="48"/>
  <c r="E275" i="52"/>
  <c r="C275" i="52"/>
  <c r="C272" i="52" s="1"/>
  <c r="E45" i="47"/>
  <c r="Q41" i="79"/>
  <c r="T129" i="50"/>
  <c r="V309" i="48"/>
  <c r="X309" i="48"/>
  <c r="AA309" i="48"/>
  <c r="C222" i="52"/>
  <c r="Z309" i="48"/>
  <c r="W309" i="48"/>
  <c r="Y309" i="48"/>
  <c r="X245" i="48"/>
  <c r="Z245" i="48"/>
  <c r="Y245" i="48"/>
  <c r="W245" i="48"/>
  <c r="AA245" i="48"/>
  <c r="V245" i="48"/>
  <c r="C72" i="52"/>
  <c r="H15" i="51"/>
  <c r="H20" i="51"/>
  <c r="D18" i="51"/>
  <c r="W310" i="48"/>
  <c r="J41" i="79"/>
  <c r="M129" i="50"/>
  <c r="H12" i="1"/>
  <c r="F174" i="52"/>
  <c r="I511" i="48"/>
  <c r="I197" i="48"/>
  <c r="I517" i="48" s="1"/>
  <c r="D517" i="48" s="1"/>
  <c r="J53" i="48"/>
  <c r="N85" i="48"/>
  <c r="T339" i="48"/>
  <c r="U330" i="48"/>
  <c r="T334" i="48"/>
  <c r="T117" i="48"/>
  <c r="U215" i="48"/>
  <c r="V470" i="48" s="1"/>
  <c r="W215" i="48"/>
  <c r="AA215" i="48"/>
  <c r="Y215" i="48"/>
  <c r="X215" i="48"/>
  <c r="Z215" i="48"/>
  <c r="T251" i="48"/>
  <c r="W251" i="48"/>
  <c r="V251" i="48"/>
  <c r="V476" i="48" s="1"/>
  <c r="Z251" i="48"/>
  <c r="AA251" i="48"/>
  <c r="X251" i="48"/>
  <c r="F178" i="52"/>
  <c r="G178" i="52" s="1"/>
  <c r="Y251" i="48"/>
  <c r="I10" i="48"/>
  <c r="H19" i="48"/>
  <c r="H11" i="48"/>
  <c r="H14" i="48"/>
  <c r="U117" i="48"/>
  <c r="U251" i="48"/>
  <c r="U245" i="48"/>
  <c r="E175" i="52"/>
  <c r="C175" i="52"/>
  <c r="AD91" i="45"/>
  <c r="G5" i="51"/>
  <c r="F151" i="52"/>
  <c r="G151" i="52" s="1"/>
  <c r="N41" i="79"/>
  <c r="Q129" i="50"/>
  <c r="F74" i="52"/>
  <c r="F274" i="52"/>
  <c r="Q171" i="56"/>
  <c r="T207" i="45" s="1"/>
  <c r="T211" i="45" s="1"/>
  <c r="V201" i="48"/>
  <c r="U203" i="48"/>
  <c r="J38" i="81"/>
  <c r="I36" i="81"/>
  <c r="I59" i="50"/>
  <c r="F46" i="79"/>
  <c r="F75" i="81"/>
  <c r="E71" i="81"/>
  <c r="D93" i="81"/>
  <c r="H82" i="50"/>
  <c r="H35" i="80"/>
  <c r="H68" i="80" s="1"/>
  <c r="Z44" i="49"/>
  <c r="P41" i="50" s="1"/>
  <c r="H5" i="81"/>
  <c r="K59" i="50"/>
  <c r="L51" i="50"/>
  <c r="H45" i="79"/>
  <c r="K324" i="48"/>
  <c r="K483" i="48" s="1"/>
  <c r="D814" i="48"/>
  <c r="E814" i="48"/>
  <c r="C844" i="48"/>
  <c r="O512" i="48"/>
  <c r="F112" i="50"/>
  <c r="G112" i="50" s="1"/>
  <c r="H112" i="50" s="1"/>
  <c r="I112" i="50" s="1"/>
  <c r="J112" i="50" s="1"/>
  <c r="K112" i="50" s="1"/>
  <c r="L112" i="50" s="1"/>
  <c r="M112" i="50" s="1"/>
  <c r="N112" i="50" s="1"/>
  <c r="O112" i="50" s="1"/>
  <c r="E113" i="50"/>
  <c r="L671" i="48"/>
  <c r="G440" i="48"/>
  <c r="K476" i="48"/>
  <c r="K470" i="48"/>
  <c r="M476" i="48"/>
  <c r="M470" i="48"/>
  <c r="Q476" i="48"/>
  <c r="Q470" i="48"/>
  <c r="G438" i="48"/>
  <c r="N52" i="80"/>
  <c r="L516" i="48"/>
  <c r="L514" i="48" s="1"/>
  <c r="L125" i="48"/>
  <c r="L405" i="48" s="1"/>
  <c r="N471" i="48"/>
  <c r="N614" i="48" s="1"/>
  <c r="N477" i="48"/>
  <c r="N615" i="48" s="1"/>
  <c r="Q735" i="48" s="1"/>
  <c r="P471" i="48"/>
  <c r="P614" i="48" s="1"/>
  <c r="S734" i="48" s="1"/>
  <c r="P477" i="48"/>
  <c r="P615" i="48" s="1"/>
  <c r="U795" i="48" s="1"/>
  <c r="V44" i="49"/>
  <c r="L41" i="50" s="1"/>
  <c r="Y44" i="49"/>
  <c r="O41" i="50" s="1"/>
  <c r="H470" i="48"/>
  <c r="H476" i="48"/>
  <c r="U7" i="47"/>
  <c r="T76" i="50"/>
  <c r="T32" i="80"/>
  <c r="V719" i="48"/>
  <c r="U719" i="48"/>
  <c r="W719" i="48"/>
  <c r="I719" i="48"/>
  <c r="O714" i="48"/>
  <c r="P705" i="48"/>
  <c r="P714" i="48"/>
  <c r="O705" i="48"/>
  <c r="O704" i="48"/>
  <c r="O696" i="48"/>
  <c r="P696" i="48"/>
  <c r="P704" i="48"/>
  <c r="Q696" i="48"/>
  <c r="R696" i="48"/>
  <c r="I701" i="48"/>
  <c r="I706" i="48"/>
  <c r="I582" i="48" s="1"/>
  <c r="I711" i="48"/>
  <c r="I587" i="48" s="1"/>
  <c r="I715" i="48"/>
  <c r="I591" i="48" s="1"/>
  <c r="J697" i="48"/>
  <c r="J718" i="48"/>
  <c r="K715" i="48"/>
  <c r="K718" i="48"/>
  <c r="L717" i="48"/>
  <c r="L718" i="48"/>
  <c r="M715" i="48"/>
  <c r="R705" i="48"/>
  <c r="J701" i="48"/>
  <c r="J711" i="48"/>
  <c r="K717" i="48"/>
  <c r="M701" i="48"/>
  <c r="Q714" i="48"/>
  <c r="R704" i="48"/>
  <c r="I717" i="48"/>
  <c r="I593" i="48" s="1"/>
  <c r="I33" i="50" s="1"/>
  <c r="J715" i="48"/>
  <c r="J591" i="48" s="1"/>
  <c r="J717" i="48"/>
  <c r="J593" i="48" s="1"/>
  <c r="J33" i="50" s="1"/>
  <c r="K711" i="48"/>
  <c r="L697" i="48"/>
  <c r="L701" i="48"/>
  <c r="L715" i="48"/>
  <c r="Q705" i="48"/>
  <c r="R714" i="48"/>
  <c r="I697" i="48"/>
  <c r="I718" i="48"/>
  <c r="I594" i="48" s="1"/>
  <c r="I34" i="50" s="1"/>
  <c r="J706" i="48"/>
  <c r="K706" i="48"/>
  <c r="M717" i="48"/>
  <c r="O718" i="48"/>
  <c r="P697" i="48"/>
  <c r="R711" i="48"/>
  <c r="S711" i="48"/>
  <c r="T701" i="48"/>
  <c r="T711" i="48"/>
  <c r="T718" i="48"/>
  <c r="M718" i="48"/>
  <c r="N718" i="48"/>
  <c r="O717" i="48"/>
  <c r="P711" i="48"/>
  <c r="R697" i="48"/>
  <c r="R715" i="48"/>
  <c r="R717" i="48"/>
  <c r="S697" i="48"/>
  <c r="S715" i="48"/>
  <c r="S717" i="48"/>
  <c r="P706" i="48"/>
  <c r="P717" i="48"/>
  <c r="P718" i="48"/>
  <c r="Q717" i="48"/>
  <c r="R701" i="48"/>
  <c r="S701" i="48"/>
  <c r="T697" i="48"/>
  <c r="T706" i="48"/>
  <c r="T715" i="48"/>
  <c r="T717" i="48"/>
  <c r="N701" i="48"/>
  <c r="N717" i="48"/>
  <c r="P701" i="48"/>
  <c r="Q697" i="48"/>
  <c r="Q701" i="48"/>
  <c r="Q706" i="48"/>
  <c r="Q711" i="48"/>
  <c r="Q715" i="48"/>
  <c r="Q718" i="48"/>
  <c r="R706" i="48"/>
  <c r="R718" i="48"/>
  <c r="S706" i="48"/>
  <c r="S718" i="48"/>
  <c r="U710" i="48"/>
  <c r="U700" i="48"/>
  <c r="U705" i="48"/>
  <c r="V700" i="48"/>
  <c r="V711" i="48"/>
  <c r="U701" i="48"/>
  <c r="V709" i="48"/>
  <c r="V696" i="48"/>
  <c r="V714" i="48"/>
  <c r="V706" i="48"/>
  <c r="V717" i="48"/>
  <c r="U697" i="48"/>
  <c r="U715" i="48"/>
  <c r="U704" i="48"/>
  <c r="V704" i="48"/>
  <c r="V697" i="48"/>
  <c r="V715" i="48"/>
  <c r="U706" i="48"/>
  <c r="V710" i="48"/>
  <c r="U717" i="48"/>
  <c r="W709" i="48"/>
  <c r="W714" i="48"/>
  <c r="W717" i="48"/>
  <c r="V705" i="48"/>
  <c r="W700" i="48"/>
  <c r="W697" i="48"/>
  <c r="W706" i="48"/>
  <c r="W715" i="48"/>
  <c r="W705" i="48"/>
  <c r="U714" i="48"/>
  <c r="U709" i="48"/>
  <c r="V701" i="48"/>
  <c r="U711" i="48"/>
  <c r="K720" i="48"/>
  <c r="M720" i="48"/>
  <c r="U696" i="48"/>
  <c r="W696" i="48"/>
  <c r="W704" i="48"/>
  <c r="W701" i="48"/>
  <c r="W711" i="48"/>
  <c r="W710" i="48"/>
  <c r="I720" i="48"/>
  <c r="I596" i="48" s="1"/>
  <c r="I597" i="48" s="1"/>
  <c r="J720" i="48"/>
  <c r="J596" i="48" s="1"/>
  <c r="J597" i="48" s="1"/>
  <c r="L720" i="48"/>
  <c r="K779" i="48"/>
  <c r="Q765" i="48"/>
  <c r="Q756" i="48"/>
  <c r="R764" i="48"/>
  <c r="S756" i="48"/>
  <c r="S774" i="48"/>
  <c r="T764" i="48"/>
  <c r="K771" i="48"/>
  <c r="L757" i="48"/>
  <c r="L761" i="48"/>
  <c r="L766" i="48"/>
  <c r="L771" i="48"/>
  <c r="L775" i="48"/>
  <c r="M766" i="48"/>
  <c r="R774" i="48"/>
  <c r="S764" i="48"/>
  <c r="T756" i="48"/>
  <c r="K766" i="48"/>
  <c r="M771" i="48"/>
  <c r="R756" i="48"/>
  <c r="T774" i="48"/>
  <c r="K761" i="48"/>
  <c r="K775" i="48"/>
  <c r="K778" i="48"/>
  <c r="L777" i="48"/>
  <c r="L778" i="48"/>
  <c r="M775" i="48"/>
  <c r="Q774" i="48"/>
  <c r="Q764" i="48"/>
  <c r="R765" i="48"/>
  <c r="S765" i="48"/>
  <c r="K757" i="48"/>
  <c r="K777" i="48"/>
  <c r="N757" i="48"/>
  <c r="O761" i="48"/>
  <c r="P777" i="48"/>
  <c r="P778" i="48"/>
  <c r="Q777" i="48"/>
  <c r="R761" i="48"/>
  <c r="S761" i="48"/>
  <c r="T757" i="48"/>
  <c r="T766" i="48"/>
  <c r="T775" i="48"/>
  <c r="T777" i="48"/>
  <c r="N761" i="48"/>
  <c r="N775" i="48"/>
  <c r="N777" i="48"/>
  <c r="P761" i="48"/>
  <c r="Q778" i="48"/>
  <c r="R766" i="48"/>
  <c r="R778" i="48"/>
  <c r="S766" i="48"/>
  <c r="S778" i="48"/>
  <c r="M777" i="48"/>
  <c r="O775" i="48"/>
  <c r="O778" i="48"/>
  <c r="R771" i="48"/>
  <c r="S771" i="48"/>
  <c r="T761" i="48"/>
  <c r="T771" i="48"/>
  <c r="T778" i="48"/>
  <c r="M778" i="48"/>
  <c r="N778" i="48"/>
  <c r="O777" i="48"/>
  <c r="R757" i="48"/>
  <c r="R777" i="48"/>
  <c r="S757" i="48"/>
  <c r="S775" i="48"/>
  <c r="S777" i="48"/>
  <c r="T765" i="48"/>
  <c r="V761" i="48"/>
  <c r="V777" i="48"/>
  <c r="V778" i="48"/>
  <c r="U771" i="48"/>
  <c r="U777" i="48"/>
  <c r="U778" i="48"/>
  <c r="V757" i="48"/>
  <c r="V775" i="48"/>
  <c r="U766" i="48"/>
  <c r="V766" i="48"/>
  <c r="U757" i="48"/>
  <c r="U775" i="48"/>
  <c r="K780" i="48"/>
  <c r="M780" i="48"/>
  <c r="V771" i="48"/>
  <c r="L780" i="48"/>
  <c r="U761" i="48"/>
  <c r="N780" i="48"/>
  <c r="O780" i="48"/>
  <c r="S512" i="48"/>
  <c r="Q23" i="47"/>
  <c r="U181" i="45"/>
  <c r="O119" i="45"/>
  <c r="G469" i="48"/>
  <c r="G475" i="48"/>
  <c r="G34" i="80"/>
  <c r="K439" i="48"/>
  <c r="P474" i="48"/>
  <c r="P468" i="48"/>
  <c r="M50" i="45"/>
  <c r="M87" i="45" s="1"/>
  <c r="I468" i="48"/>
  <c r="I474" i="48"/>
  <c r="K347" i="48"/>
  <c r="K345" i="48"/>
  <c r="K513" i="48" s="1"/>
  <c r="K624" i="48" s="1"/>
  <c r="K341" i="48"/>
  <c r="L441" i="48" s="1"/>
  <c r="L606" i="48" s="1"/>
  <c r="K342" i="48"/>
  <c r="K343" i="48"/>
  <c r="L356" i="48" s="1"/>
  <c r="L483" i="48" s="1"/>
  <c r="Q91" i="45"/>
  <c r="Q138" i="45"/>
  <c r="Q149" i="45" s="1"/>
  <c r="H438" i="48"/>
  <c r="O468" i="48"/>
  <c r="O474" i="48"/>
  <c r="D528" i="48"/>
  <c r="AE44" i="49"/>
  <c r="U41" i="50" s="1"/>
  <c r="M270" i="48"/>
  <c r="L294" i="48"/>
  <c r="L542" i="48" s="1"/>
  <c r="L271" i="48"/>
  <c r="M9" i="45"/>
  <c r="M7" i="46"/>
  <c r="Y277" i="48"/>
  <c r="X277" i="48"/>
  <c r="Z277" i="48"/>
  <c r="C197" i="52"/>
  <c r="F197" i="52" s="1"/>
  <c r="G197" i="52" s="1"/>
  <c r="V277" i="48"/>
  <c r="W277" i="48"/>
  <c r="AA277" i="48"/>
  <c r="U213" i="48"/>
  <c r="Y213" i="48"/>
  <c r="X213" i="48"/>
  <c r="W213" i="48"/>
  <c r="Z213" i="48"/>
  <c r="AA213" i="48"/>
  <c r="V213" i="48"/>
  <c r="C147" i="52"/>
  <c r="C47" i="52"/>
  <c r="Z91" i="45"/>
  <c r="K41" i="79"/>
  <c r="N129" i="50"/>
  <c r="F199" i="52"/>
  <c r="L51" i="45"/>
  <c r="I454" i="48"/>
  <c r="I195" i="48"/>
  <c r="I460" i="48" s="1"/>
  <c r="I475" i="48"/>
  <c r="I469" i="48"/>
  <c r="I196" i="48"/>
  <c r="I481" i="48" s="1"/>
  <c r="K53" i="48"/>
  <c r="N510" i="48"/>
  <c r="S345" i="48"/>
  <c r="S342" i="48"/>
  <c r="S343" i="48"/>
  <c r="S347" i="48"/>
  <c r="S341" i="48"/>
  <c r="V684" i="48"/>
  <c r="V687" i="48"/>
  <c r="U685" i="48"/>
  <c r="U684" i="48"/>
  <c r="U687" i="48"/>
  <c r="V685" i="48"/>
  <c r="V217" i="48"/>
  <c r="V512" i="48" s="1"/>
  <c r="V310" i="48"/>
  <c r="AF44" i="49"/>
  <c r="V41" i="50" s="1"/>
  <c r="D21" i="51"/>
  <c r="F52" i="52"/>
  <c r="G52" i="52" s="1"/>
  <c r="E47" i="52"/>
  <c r="P41" i="79"/>
  <c r="S129" i="50"/>
  <c r="F76" i="52"/>
  <c r="G76" i="52" s="1"/>
  <c r="E72" i="52"/>
  <c r="F72" i="52" s="1"/>
  <c r="G72" i="52" s="1"/>
  <c r="C5" i="79"/>
  <c r="K168" i="45"/>
  <c r="K175" i="45"/>
  <c r="F102" i="52"/>
  <c r="G102" i="52" s="1"/>
  <c r="E97" i="52"/>
  <c r="F97" i="52" s="1"/>
  <c r="G97" i="52" s="1"/>
  <c r="F252" i="52"/>
  <c r="G252" i="52" s="1"/>
  <c r="L202" i="45"/>
  <c r="E354" i="52"/>
  <c r="C354" i="52"/>
  <c r="G352" i="52"/>
  <c r="F49" i="52"/>
  <c r="K406" i="48"/>
  <c r="K432" i="48" s="1"/>
  <c r="K125" i="48"/>
  <c r="P233" i="48"/>
  <c r="O235" i="48"/>
  <c r="D12" i="56"/>
  <c r="I166" i="56"/>
  <c r="L239" i="48"/>
  <c r="M238" i="48"/>
  <c r="S165" i="56"/>
  <c r="R171" i="56"/>
  <c r="U207" i="45" s="1"/>
  <c r="U211" i="45" s="1"/>
  <c r="K596" i="48" l="1"/>
  <c r="K597" i="48" s="1"/>
  <c r="J594" i="48"/>
  <c r="J34" i="50" s="1"/>
  <c r="J35" i="50"/>
  <c r="L594" i="48"/>
  <c r="L34" i="50" s="1"/>
  <c r="L35" i="50" s="1"/>
  <c r="L593" i="48"/>
  <c r="L33" i="50" s="1"/>
  <c r="K594" i="48"/>
  <c r="K34" i="50" s="1"/>
  <c r="I169" i="56"/>
  <c r="N171" i="56"/>
  <c r="Q207" i="45" s="1"/>
  <c r="Q211" i="45" s="1"/>
  <c r="J93" i="50"/>
  <c r="I96" i="50"/>
  <c r="K593" i="48"/>
  <c r="K33" i="50" s="1"/>
  <c r="K35" i="50" s="1"/>
  <c r="K591" i="48"/>
  <c r="M666" i="48"/>
  <c r="L636" i="48"/>
  <c r="P756" i="48"/>
  <c r="Q786" i="48"/>
  <c r="N696" i="48"/>
  <c r="O726" i="48"/>
  <c r="G37" i="79"/>
  <c r="J127" i="50"/>
  <c r="L630" i="48"/>
  <c r="Q654" i="48"/>
  <c r="R684" i="48"/>
  <c r="U774" i="48"/>
  <c r="T744" i="48"/>
  <c r="V804" i="48"/>
  <c r="S714" i="48"/>
  <c r="L684" i="48"/>
  <c r="K654" i="48"/>
  <c r="N744" i="48"/>
  <c r="P804" i="48"/>
  <c r="M714" i="48"/>
  <c r="O774" i="48"/>
  <c r="I35" i="50"/>
  <c r="R675" i="48"/>
  <c r="Q645" i="48"/>
  <c r="S705" i="48"/>
  <c r="U765" i="48"/>
  <c r="T735" i="48"/>
  <c r="V795" i="48"/>
  <c r="I40" i="79"/>
  <c r="L128" i="50"/>
  <c r="M839" i="48"/>
  <c r="Q816" i="48"/>
  <c r="R816" i="48"/>
  <c r="T834" i="48"/>
  <c r="M817" i="48"/>
  <c r="M835" i="48"/>
  <c r="Q834" i="48"/>
  <c r="S825" i="48"/>
  <c r="M821" i="48"/>
  <c r="S816" i="48"/>
  <c r="S834" i="48"/>
  <c r="T824" i="48"/>
  <c r="M826" i="48"/>
  <c r="S824" i="48"/>
  <c r="T816" i="48"/>
  <c r="M837" i="48"/>
  <c r="M593" i="48" s="1"/>
  <c r="N826" i="48"/>
  <c r="O826" i="48"/>
  <c r="O835" i="48"/>
  <c r="O838" i="48"/>
  <c r="P817" i="48"/>
  <c r="P835" i="48"/>
  <c r="T821" i="48"/>
  <c r="T831" i="48"/>
  <c r="T838" i="48"/>
  <c r="M831" i="48"/>
  <c r="M838" i="48"/>
  <c r="M594" i="48" s="1"/>
  <c r="N831" i="48"/>
  <c r="N838" i="48"/>
  <c r="O837" i="48"/>
  <c r="R837" i="48"/>
  <c r="S837" i="48"/>
  <c r="N817" i="48"/>
  <c r="O831" i="48"/>
  <c r="P837" i="48"/>
  <c r="P838" i="48"/>
  <c r="Q837" i="48"/>
  <c r="R821" i="48"/>
  <c r="T817" i="48"/>
  <c r="T826" i="48"/>
  <c r="T837" i="48"/>
  <c r="N821" i="48"/>
  <c r="N835" i="48"/>
  <c r="N837" i="48"/>
  <c r="P821" i="48"/>
  <c r="Q821" i="48"/>
  <c r="Q835" i="48"/>
  <c r="Q838" i="48"/>
  <c r="R838" i="48"/>
  <c r="S838" i="48"/>
  <c r="U825" i="48"/>
  <c r="V816" i="48"/>
  <c r="V834" i="48"/>
  <c r="V821" i="48"/>
  <c r="U821" i="48"/>
  <c r="V817" i="48"/>
  <c r="V835" i="48"/>
  <c r="U817" i="48"/>
  <c r="U835" i="48"/>
  <c r="V825" i="48"/>
  <c r="U824" i="48"/>
  <c r="V826" i="48"/>
  <c r="U826" i="48"/>
  <c r="U816" i="48"/>
  <c r="V824" i="48"/>
  <c r="V831" i="48"/>
  <c r="N840" i="48"/>
  <c r="X821" i="48"/>
  <c r="V837" i="48"/>
  <c r="U837" i="48"/>
  <c r="W821" i="48"/>
  <c r="W831" i="48"/>
  <c r="X826" i="48"/>
  <c r="T825" i="48"/>
  <c r="U838" i="48"/>
  <c r="W834" i="48"/>
  <c r="W837" i="48"/>
  <c r="W838" i="48"/>
  <c r="M840" i="48"/>
  <c r="X831" i="48"/>
  <c r="U834" i="48"/>
  <c r="V838" i="48"/>
  <c r="U831" i="48"/>
  <c r="W817" i="48"/>
  <c r="W826" i="48"/>
  <c r="W835" i="48"/>
  <c r="W825" i="48"/>
  <c r="O840" i="48"/>
  <c r="P840" i="48"/>
  <c r="Q840" i="48"/>
  <c r="X817" i="48"/>
  <c r="X835" i="48"/>
  <c r="R840" i="48"/>
  <c r="X837" i="48"/>
  <c r="X838" i="48"/>
  <c r="M40" i="79"/>
  <c r="P128" i="50"/>
  <c r="E47" i="79"/>
  <c r="C79" i="52"/>
  <c r="E79" i="52"/>
  <c r="G74" i="52"/>
  <c r="G44" i="50"/>
  <c r="V246" i="48"/>
  <c r="W246" i="48"/>
  <c r="AA246" i="48"/>
  <c r="Y246" i="48"/>
  <c r="X246" i="48"/>
  <c r="Z246" i="48"/>
  <c r="L246" i="48"/>
  <c r="K246" i="48"/>
  <c r="I246" i="48"/>
  <c r="G246" i="48"/>
  <c r="N246" i="48"/>
  <c r="H246" i="48"/>
  <c r="S246" i="48"/>
  <c r="O246" i="48"/>
  <c r="U246" i="48"/>
  <c r="Q246" i="48"/>
  <c r="M246" i="48"/>
  <c r="R246" i="48"/>
  <c r="P246" i="48"/>
  <c r="J246" i="48"/>
  <c r="T246" i="48"/>
  <c r="H23" i="48"/>
  <c r="H27" i="48"/>
  <c r="H21" i="48"/>
  <c r="H22" i="48"/>
  <c r="H452" i="48" s="1"/>
  <c r="H25" i="48"/>
  <c r="H509" i="48" s="1"/>
  <c r="Y470" i="48"/>
  <c r="Y476" i="48"/>
  <c r="U339" i="48"/>
  <c r="V330" i="48"/>
  <c r="U334" i="48"/>
  <c r="C179" i="52"/>
  <c r="G174" i="52"/>
  <c r="C172" i="52"/>
  <c r="F275" i="52"/>
  <c r="G275" i="52" s="1"/>
  <c r="E272" i="52"/>
  <c r="F272" i="52" s="1"/>
  <c r="G272" i="52" s="1"/>
  <c r="K441" i="48"/>
  <c r="K606" i="48" s="1"/>
  <c r="M172" i="45"/>
  <c r="M48" i="45"/>
  <c r="E43" i="80"/>
  <c r="S371" i="48"/>
  <c r="T362" i="48"/>
  <c r="T366" i="48"/>
  <c r="O644" i="48"/>
  <c r="P674" i="48"/>
  <c r="P170" i="48"/>
  <c r="O179" i="48"/>
  <c r="N42" i="48"/>
  <c r="M51" i="48"/>
  <c r="N46" i="48"/>
  <c r="N47" i="48" s="1"/>
  <c r="M43" i="48"/>
  <c r="L607" i="48"/>
  <c r="L442" i="48"/>
  <c r="N17" i="46"/>
  <c r="M16" i="45"/>
  <c r="M220" i="45" s="1"/>
  <c r="K607" i="48"/>
  <c r="K442" i="48"/>
  <c r="F52" i="80"/>
  <c r="E32" i="80"/>
  <c r="F38" i="80"/>
  <c r="L175" i="48"/>
  <c r="M174" i="48"/>
  <c r="C254" i="52"/>
  <c r="G249" i="52"/>
  <c r="E254" i="52"/>
  <c r="F147" i="52"/>
  <c r="G147" i="52" s="1"/>
  <c r="G437" i="48"/>
  <c r="I277" i="48"/>
  <c r="I283" i="48"/>
  <c r="I278" i="48"/>
  <c r="I291" i="48" s="1"/>
  <c r="I462" i="48" s="1"/>
  <c r="I281" i="48"/>
  <c r="I279" i="48"/>
  <c r="K516" i="48"/>
  <c r="K93" i="48"/>
  <c r="K405" i="48" s="1"/>
  <c r="N48" i="45"/>
  <c r="N86" i="45"/>
  <c r="C114" i="50"/>
  <c r="C102" i="47"/>
  <c r="H40" i="79"/>
  <c r="K128" i="50"/>
  <c r="J118" i="48"/>
  <c r="J453" i="48" s="1"/>
  <c r="J121" i="48"/>
  <c r="J510" i="48" s="1"/>
  <c r="J117" i="48"/>
  <c r="J119" i="48"/>
  <c r="J123" i="48"/>
  <c r="G40" i="79"/>
  <c r="J128" i="50"/>
  <c r="H52" i="80"/>
  <c r="G17" i="50"/>
  <c r="G19" i="50" s="1"/>
  <c r="I439" i="48"/>
  <c r="I194" i="48"/>
  <c r="I438" i="48"/>
  <c r="G109" i="50"/>
  <c r="N636" i="48"/>
  <c r="O666" i="48"/>
  <c r="N675" i="48"/>
  <c r="M645" i="48"/>
  <c r="R804" i="48"/>
  <c r="T794" i="48"/>
  <c r="K477" i="48"/>
  <c r="K615" i="48" s="1"/>
  <c r="O40" i="79"/>
  <c r="R128" i="50"/>
  <c r="R734" i="48"/>
  <c r="E229" i="52"/>
  <c r="S40" i="79"/>
  <c r="V128" i="50"/>
  <c r="M47" i="45"/>
  <c r="M204" i="45"/>
  <c r="P119" i="45"/>
  <c r="M239" i="48"/>
  <c r="N238" i="48"/>
  <c r="C54" i="52"/>
  <c r="G49" i="52"/>
  <c r="E54" i="52"/>
  <c r="L44" i="45"/>
  <c r="L229" i="45"/>
  <c r="L88" i="45"/>
  <c r="L137" i="45"/>
  <c r="L148" i="45" s="1"/>
  <c r="Q704" i="48"/>
  <c r="U32" i="80"/>
  <c r="V7" i="47"/>
  <c r="U76" i="50"/>
  <c r="N645" i="48"/>
  <c r="O675" i="48"/>
  <c r="K616" i="48"/>
  <c r="Q826" i="48" s="1"/>
  <c r="K478" i="48"/>
  <c r="I5" i="81"/>
  <c r="L59" i="50"/>
  <c r="M51" i="50"/>
  <c r="I45" i="79"/>
  <c r="F49" i="79"/>
  <c r="I130" i="50"/>
  <c r="W201" i="48"/>
  <c r="V203" i="48"/>
  <c r="F175" i="52"/>
  <c r="G175" i="52" s="1"/>
  <c r="I19" i="48"/>
  <c r="J10" i="48"/>
  <c r="I14" i="48"/>
  <c r="I11" i="48"/>
  <c r="AA476" i="48"/>
  <c r="AA470" i="48"/>
  <c r="T341" i="48"/>
  <c r="T343" i="48"/>
  <c r="T342" i="48"/>
  <c r="T345" i="48"/>
  <c r="T344" i="48"/>
  <c r="T347" i="48"/>
  <c r="D15" i="51"/>
  <c r="H5" i="51"/>
  <c r="H44" i="50" s="1"/>
  <c r="N12" i="45"/>
  <c r="N50" i="45" s="1"/>
  <c r="N87" i="45" s="1"/>
  <c r="N10" i="46"/>
  <c r="L471" i="48"/>
  <c r="L614" i="48" s="1"/>
  <c r="E111" i="50"/>
  <c r="F110" i="50"/>
  <c r="R377" i="48"/>
  <c r="R513" i="48" s="1"/>
  <c r="R624" i="48" s="1"/>
  <c r="R374" i="48"/>
  <c r="R375" i="48"/>
  <c r="R373" i="48"/>
  <c r="R379" i="48"/>
  <c r="P675" i="48"/>
  <c r="O645" i="48"/>
  <c r="M519" i="48"/>
  <c r="M55" i="45"/>
  <c r="M203" i="45"/>
  <c r="J482" i="48"/>
  <c r="D482" i="48" s="1"/>
  <c r="J253" i="48"/>
  <c r="J417" i="48" s="1"/>
  <c r="R361" i="48"/>
  <c r="Q363" i="48"/>
  <c r="R365" i="48"/>
  <c r="R367" i="48" s="1"/>
  <c r="Z512" i="48"/>
  <c r="H267" i="48"/>
  <c r="G266" i="48" s="1"/>
  <c r="H275" i="48"/>
  <c r="J516" i="48"/>
  <c r="J93" i="48"/>
  <c r="Q471" i="48"/>
  <c r="Q614" i="48" s="1"/>
  <c r="L513" i="48"/>
  <c r="L624" i="48" s="1"/>
  <c r="G49" i="79"/>
  <c r="J130" i="50"/>
  <c r="T83" i="45"/>
  <c r="H103" i="50"/>
  <c r="O654" i="48"/>
  <c r="P684" i="48"/>
  <c r="M356" i="48"/>
  <c r="M483" i="48" s="1"/>
  <c r="K115" i="48"/>
  <c r="K107" i="48"/>
  <c r="K110" i="48"/>
  <c r="M90" i="45"/>
  <c r="M51" i="45"/>
  <c r="R83" i="48"/>
  <c r="S74" i="48"/>
  <c r="R75" i="48"/>
  <c r="S78" i="48"/>
  <c r="AE128" i="45"/>
  <c r="AD140" i="45"/>
  <c r="AD151" i="45" s="1"/>
  <c r="R206" i="48"/>
  <c r="Q207" i="48"/>
  <c r="Q77" i="48"/>
  <c r="Q79" i="48" s="1"/>
  <c r="R73" i="48"/>
  <c r="J439" i="48"/>
  <c r="M644" i="48"/>
  <c r="N674" i="48"/>
  <c r="T804" i="48"/>
  <c r="S795" i="48"/>
  <c r="Q40" i="79"/>
  <c r="T128" i="50"/>
  <c r="J40" i="79"/>
  <c r="M128" i="50"/>
  <c r="R735" i="48"/>
  <c r="F40" i="79"/>
  <c r="I128" i="50"/>
  <c r="C229" i="52"/>
  <c r="L616" i="48"/>
  <c r="L478" i="48"/>
  <c r="P235" i="48"/>
  <c r="Q233" i="48"/>
  <c r="C204" i="52"/>
  <c r="E204" i="52"/>
  <c r="G199" i="52"/>
  <c r="R40" i="79"/>
  <c r="U128" i="50"/>
  <c r="P645" i="48"/>
  <c r="Q675" i="48"/>
  <c r="O674" i="48"/>
  <c r="N644" i="48"/>
  <c r="D844" i="48"/>
  <c r="E844" i="48"/>
  <c r="C874" i="48"/>
  <c r="H49" i="79"/>
  <c r="K130" i="50"/>
  <c r="H15" i="48"/>
  <c r="Z470" i="48"/>
  <c r="Z476" i="48"/>
  <c r="W476" i="48"/>
  <c r="W470" i="48"/>
  <c r="N438" i="48"/>
  <c r="C171" i="52"/>
  <c r="T476" i="48"/>
  <c r="H307" i="48"/>
  <c r="H299" i="48"/>
  <c r="L477" i="48"/>
  <c r="L615" i="48" s="1"/>
  <c r="S390" i="48"/>
  <c r="J616" i="48"/>
  <c r="P826" i="48" s="1"/>
  <c r="I33" i="81"/>
  <c r="I32" i="81" s="1"/>
  <c r="J35" i="81"/>
  <c r="J33" i="81" s="1"/>
  <c r="S331" i="48"/>
  <c r="T329" i="48"/>
  <c r="F247" i="52"/>
  <c r="G247" i="52" s="1"/>
  <c r="F22" i="52"/>
  <c r="G22" i="52" s="1"/>
  <c r="C29" i="52"/>
  <c r="G24" i="52"/>
  <c r="E29" i="52"/>
  <c r="C154" i="52"/>
  <c r="G149" i="52"/>
  <c r="E154" i="52"/>
  <c r="G473" i="48"/>
  <c r="G467" i="48"/>
  <c r="AA512" i="48"/>
  <c r="W512" i="48"/>
  <c r="C104" i="52"/>
  <c r="E104" i="52"/>
  <c r="G99" i="52"/>
  <c r="F222" i="52"/>
  <c r="G222" i="52" s="1"/>
  <c r="P666" i="48"/>
  <c r="O636" i="48"/>
  <c r="P40" i="79"/>
  <c r="S128" i="50"/>
  <c r="Q38" i="47"/>
  <c r="U46" i="45"/>
  <c r="J111" i="48"/>
  <c r="N40" i="79"/>
  <c r="Q128" i="50"/>
  <c r="N15" i="46"/>
  <c r="M13" i="45"/>
  <c r="M219" i="45" s="1"/>
  <c r="Q91" i="48"/>
  <c r="Q85" i="48"/>
  <c r="Q88" i="48"/>
  <c r="Q86" i="48"/>
  <c r="Q453" i="48" s="1"/>
  <c r="Q87" i="48"/>
  <c r="Q89" i="48"/>
  <c r="Q510" i="48" s="1"/>
  <c r="M169" i="48"/>
  <c r="L171" i="48"/>
  <c r="C129" i="52"/>
  <c r="E129" i="52"/>
  <c r="G124" i="52"/>
  <c r="G33" i="50"/>
  <c r="D35" i="51"/>
  <c r="K5" i="51"/>
  <c r="K44" i="50" s="1"/>
  <c r="U214" i="48"/>
  <c r="W214" i="48"/>
  <c r="X214" i="48"/>
  <c r="AA214" i="48"/>
  <c r="Z214" i="48"/>
  <c r="Y214" i="48"/>
  <c r="T214" i="48"/>
  <c r="P214" i="48"/>
  <c r="V214" i="48"/>
  <c r="J214" i="48"/>
  <c r="H214" i="48"/>
  <c r="Q214" i="48"/>
  <c r="I214" i="48"/>
  <c r="R214" i="48"/>
  <c r="O214" i="48"/>
  <c r="S214" i="48"/>
  <c r="G214" i="48"/>
  <c r="N214" i="48"/>
  <c r="M214" i="48"/>
  <c r="L214" i="48"/>
  <c r="K214" i="48"/>
  <c r="E40" i="80"/>
  <c r="N625" i="48"/>
  <c r="N514" i="48"/>
  <c r="M607" i="48"/>
  <c r="M442" i="48"/>
  <c r="U804" i="48"/>
  <c r="S794" i="48"/>
  <c r="S786" i="48"/>
  <c r="Q734" i="48"/>
  <c r="R744" i="48"/>
  <c r="P735" i="48"/>
  <c r="Q726" i="48"/>
  <c r="K518" i="48"/>
  <c r="K253" i="48"/>
  <c r="K417" i="48" s="1"/>
  <c r="E13" i="81"/>
  <c r="E37" i="79"/>
  <c r="H127" i="50"/>
  <c r="T165" i="56"/>
  <c r="S171" i="56"/>
  <c r="V207" i="45" s="1"/>
  <c r="V211" i="45" s="1"/>
  <c r="E355" i="52"/>
  <c r="E346" i="52"/>
  <c r="F346" i="52" s="1"/>
  <c r="G346" i="52" s="1"/>
  <c r="F354" i="52"/>
  <c r="F355" i="52" s="1"/>
  <c r="D481" i="48"/>
  <c r="I478" i="48"/>
  <c r="C355" i="52"/>
  <c r="C346" i="52"/>
  <c r="F47" i="52"/>
  <c r="G47" i="52" s="1"/>
  <c r="D460" i="48"/>
  <c r="I457" i="48"/>
  <c r="M6" i="46"/>
  <c r="M7" i="45"/>
  <c r="N9" i="46"/>
  <c r="N270" i="48"/>
  <c r="M294" i="48"/>
  <c r="M542" i="48" s="1"/>
  <c r="M630" i="48" s="1"/>
  <c r="M271" i="48"/>
  <c r="G36" i="80"/>
  <c r="R23" i="47"/>
  <c r="V181" i="45"/>
  <c r="L40" i="79"/>
  <c r="O128" i="50"/>
  <c r="Q674" i="48"/>
  <c r="P644" i="48"/>
  <c r="F113" i="50"/>
  <c r="G113" i="50" s="1"/>
  <c r="H113" i="50" s="1"/>
  <c r="E52" i="80"/>
  <c r="E54" i="80" s="1"/>
  <c r="F51" i="80" s="1"/>
  <c r="F54" i="80" s="1"/>
  <c r="G51" i="80" s="1"/>
  <c r="G54" i="80" s="1"/>
  <c r="H51" i="80" s="1"/>
  <c r="H54" i="80" s="1"/>
  <c r="I51" i="80" s="1"/>
  <c r="G75" i="81"/>
  <c r="F71" i="81"/>
  <c r="K38" i="81"/>
  <c r="J36" i="81"/>
  <c r="C279" i="52"/>
  <c r="C271" i="52" s="1"/>
  <c r="E279" i="52"/>
  <c r="G274" i="52"/>
  <c r="X470" i="48"/>
  <c r="X476" i="48"/>
  <c r="U476" i="48"/>
  <c r="D476" i="48" s="1"/>
  <c r="U470" i="48"/>
  <c r="T335" i="48"/>
  <c r="T358" i="48"/>
  <c r="E172" i="52"/>
  <c r="F172" i="52" s="1"/>
  <c r="G172" i="52" s="1"/>
  <c r="P374" i="48"/>
  <c r="N374" i="48"/>
  <c r="M374" i="48"/>
  <c r="J374" i="48"/>
  <c r="H374" i="48"/>
  <c r="G374" i="48"/>
  <c r="K374" i="48"/>
  <c r="Q374" i="48"/>
  <c r="L374" i="48"/>
  <c r="I374" i="48"/>
  <c r="O374" i="48"/>
  <c r="S26" i="47"/>
  <c r="W184" i="45"/>
  <c r="W122" i="45" s="1"/>
  <c r="I310" i="48"/>
  <c r="I311" i="48"/>
  <c r="I315" i="48"/>
  <c r="I309" i="48"/>
  <c r="J441" i="48" s="1"/>
  <c r="J606" i="48" s="1"/>
  <c r="I313" i="48"/>
  <c r="Q666" i="48"/>
  <c r="P636" i="48"/>
  <c r="Q684" i="48"/>
  <c r="P654" i="48"/>
  <c r="N184" i="48"/>
  <c r="N182" i="48"/>
  <c r="N454" i="48" s="1"/>
  <c r="N187" i="48"/>
  <c r="N185" i="48"/>
  <c r="N511" i="48" s="1"/>
  <c r="N181" i="48"/>
  <c r="N183" i="48"/>
  <c r="L54" i="48"/>
  <c r="L56" i="48"/>
  <c r="L55" i="48"/>
  <c r="L53" i="48"/>
  <c r="L59" i="48"/>
  <c r="L57" i="48"/>
  <c r="G38" i="80"/>
  <c r="C9" i="79"/>
  <c r="K132" i="45"/>
  <c r="K80" i="45"/>
  <c r="C13" i="79" s="1"/>
  <c r="O438" i="48"/>
  <c r="D516" i="48"/>
  <c r="I514" i="48"/>
  <c r="J41" i="47"/>
  <c r="O49" i="45" s="1"/>
  <c r="K40" i="47"/>
  <c r="N684" i="48"/>
  <c r="M654" i="48"/>
  <c r="Q92" i="50"/>
  <c r="K40" i="79"/>
  <c r="N128" i="50"/>
  <c r="L625" i="48"/>
  <c r="D519" i="48"/>
  <c r="I76" i="50"/>
  <c r="I32" i="80"/>
  <c r="G34" i="50"/>
  <c r="P5" i="47"/>
  <c r="U5" i="47"/>
  <c r="AA5" i="47" s="1"/>
  <c r="H480" i="48"/>
  <c r="H93" i="48"/>
  <c r="H405" i="48" s="1"/>
  <c r="H430" i="48" s="1"/>
  <c r="Z124" i="45"/>
  <c r="Y138" i="45"/>
  <c r="Y149" i="45" s="1"/>
  <c r="Q441" i="48"/>
  <c r="Q606" i="48" s="1"/>
  <c r="W816" i="48" s="1"/>
  <c r="M636" i="48"/>
  <c r="N666" i="48"/>
  <c r="U794" i="48"/>
  <c r="U786" i="48"/>
  <c r="R786" i="48"/>
  <c r="R794" i="48"/>
  <c r="R795" i="48"/>
  <c r="K471" i="48"/>
  <c r="K614" i="48" s="1"/>
  <c r="H440" i="48"/>
  <c r="O684" i="48"/>
  <c r="N654" i="48"/>
  <c r="S726" i="48"/>
  <c r="S735" i="48"/>
  <c r="R726" i="48"/>
  <c r="P734" i="48"/>
  <c r="D470" i="48"/>
  <c r="E40" i="79"/>
  <c r="H128" i="50"/>
  <c r="H42" i="50"/>
  <c r="I42" i="50" s="1"/>
  <c r="J42" i="50" s="1"/>
  <c r="K42" i="50" s="1"/>
  <c r="L42" i="50" s="1"/>
  <c r="M42" i="50" s="1"/>
  <c r="N42" i="50" s="1"/>
  <c r="O42" i="50" s="1"/>
  <c r="P42" i="50" s="1"/>
  <c r="Q42" i="50" s="1"/>
  <c r="R42" i="50" s="1"/>
  <c r="S42" i="50" s="1"/>
  <c r="T42" i="50" s="1"/>
  <c r="U42" i="50" s="1"/>
  <c r="V42" i="50" s="1"/>
  <c r="W42" i="50" s="1"/>
  <c r="X42" i="50" s="1"/>
  <c r="Y42" i="50" s="1"/>
  <c r="Z42" i="50" s="1"/>
  <c r="AA42" i="50" s="1"/>
  <c r="D518" i="48"/>
  <c r="J108" i="50"/>
  <c r="G35" i="50" l="1"/>
  <c r="J96" i="50"/>
  <c r="K93" i="50"/>
  <c r="M33" i="50"/>
  <c r="K666" i="48"/>
  <c r="J636" i="48"/>
  <c r="M726" i="48"/>
  <c r="O786" i="48"/>
  <c r="N756" i="48"/>
  <c r="L696" i="48"/>
  <c r="P816" i="48"/>
  <c r="M34" i="50"/>
  <c r="H629" i="48"/>
  <c r="I629" i="48"/>
  <c r="G540" i="48"/>
  <c r="J629" i="48"/>
  <c r="H478" i="48"/>
  <c r="O86" i="45"/>
  <c r="L456" i="48"/>
  <c r="L610" i="48" s="1"/>
  <c r="P456" i="48"/>
  <c r="P610" i="48" s="1"/>
  <c r="F279" i="52"/>
  <c r="F280" i="52" s="1"/>
  <c r="E280" i="52"/>
  <c r="M660" i="48"/>
  <c r="N690" i="48"/>
  <c r="R810" i="48"/>
  <c r="O720" i="48"/>
  <c r="Q780" i="48"/>
  <c r="P750" i="48"/>
  <c r="N7" i="46"/>
  <c r="N9" i="45"/>
  <c r="G127" i="50"/>
  <c r="G36" i="50"/>
  <c r="H36" i="50" s="1"/>
  <c r="I36" i="50" s="1"/>
  <c r="J36" i="50" s="1"/>
  <c r="K36" i="50" s="1"/>
  <c r="L36" i="50" s="1"/>
  <c r="Q474" i="48"/>
  <c r="Q468" i="48"/>
  <c r="F154" i="52"/>
  <c r="F155" i="52" s="1"/>
  <c r="E155" i="52"/>
  <c r="E146" i="52"/>
  <c r="D874" i="48"/>
  <c r="E874" i="48"/>
  <c r="C904" i="48"/>
  <c r="C230" i="52"/>
  <c r="V312" i="48"/>
  <c r="V308" i="48" s="1"/>
  <c r="U312" i="48"/>
  <c r="U308" i="48" s="1"/>
  <c r="X312" i="48"/>
  <c r="X308" i="48" s="1"/>
  <c r="Z312" i="48"/>
  <c r="Z308" i="48" s="1"/>
  <c r="AA312" i="48"/>
  <c r="AA308" i="48" s="1"/>
  <c r="Y312" i="48"/>
  <c r="Y308" i="48" s="1"/>
  <c r="W312" i="48"/>
  <c r="W308" i="48" s="1"/>
  <c r="N312" i="48"/>
  <c r="N308" i="48" s="1"/>
  <c r="Q312" i="48"/>
  <c r="Q308" i="48" s="1"/>
  <c r="L312" i="48"/>
  <c r="L308" i="48" s="1"/>
  <c r="O312" i="48"/>
  <c r="O308" i="48" s="1"/>
  <c r="J312" i="48"/>
  <c r="J308" i="48" s="1"/>
  <c r="M312" i="48"/>
  <c r="M308" i="48" s="1"/>
  <c r="K312" i="48"/>
  <c r="T312" i="48"/>
  <c r="T308" i="48" s="1"/>
  <c r="P312" i="48"/>
  <c r="P308" i="48" s="1"/>
  <c r="S312" i="48"/>
  <c r="S308" i="48" s="1"/>
  <c r="G312" i="48"/>
  <c r="G308" i="48" s="1"/>
  <c r="R312" i="48"/>
  <c r="R308" i="48" s="1"/>
  <c r="C221" i="52"/>
  <c r="R207" i="48"/>
  <c r="S206" i="48"/>
  <c r="M616" i="48"/>
  <c r="M478" i="48"/>
  <c r="M684" i="48"/>
  <c r="L654" i="48"/>
  <c r="Q804" i="48"/>
  <c r="P774" i="48"/>
  <c r="O744" i="48"/>
  <c r="N714" i="48"/>
  <c r="M54" i="45"/>
  <c r="M92" i="45"/>
  <c r="R376" i="48"/>
  <c r="O12" i="46"/>
  <c r="N10" i="45"/>
  <c r="N31" i="46"/>
  <c r="I49" i="79"/>
  <c r="L130" i="50"/>
  <c r="N239" i="48"/>
  <c r="O238" i="48"/>
  <c r="K645" i="48"/>
  <c r="L675" i="48"/>
  <c r="N735" i="48"/>
  <c r="M705" i="48"/>
  <c r="P795" i="48"/>
  <c r="O765" i="48"/>
  <c r="J132" i="48"/>
  <c r="J480" i="48" s="1"/>
  <c r="J478" i="48" s="1"/>
  <c r="J474" i="48"/>
  <c r="J468" i="48"/>
  <c r="N85" i="45"/>
  <c r="J471" i="48"/>
  <c r="J614" i="48" s="1"/>
  <c r="J477" i="48"/>
  <c r="J615" i="48" s="1"/>
  <c r="F254" i="52"/>
  <c r="F255" i="52" s="1"/>
  <c r="E255" i="52"/>
  <c r="E246" i="52"/>
  <c r="K637" i="48"/>
  <c r="L667" i="48"/>
  <c r="M697" i="48"/>
  <c r="O757" i="48"/>
  <c r="N727" i="48"/>
  <c r="P787" i="48"/>
  <c r="O187" i="48"/>
  <c r="O185" i="48"/>
  <c r="O511" i="48" s="1"/>
  <c r="O184" i="48"/>
  <c r="O181" i="48"/>
  <c r="O182" i="48"/>
  <c r="O454" i="48" s="1"/>
  <c r="O183" i="48"/>
  <c r="U362" i="48"/>
  <c r="T371" i="48"/>
  <c r="U366" i="48"/>
  <c r="M85" i="45"/>
  <c r="E271" i="52"/>
  <c r="F271" i="52" s="1"/>
  <c r="G271" i="52" s="1"/>
  <c r="C180" i="52"/>
  <c r="V248" i="48"/>
  <c r="V244" i="48" s="1"/>
  <c r="W248" i="48"/>
  <c r="W244" i="48" s="1"/>
  <c r="Y248" i="48"/>
  <c r="Y244" i="48" s="1"/>
  <c r="X248" i="48"/>
  <c r="X244" i="48" s="1"/>
  <c r="AA248" i="48"/>
  <c r="AA244" i="48" s="1"/>
  <c r="Z248" i="48"/>
  <c r="Z244" i="48" s="1"/>
  <c r="U248" i="48"/>
  <c r="U244" i="48" s="1"/>
  <c r="O248" i="48"/>
  <c r="O244" i="48" s="1"/>
  <c r="O414" i="48" s="1"/>
  <c r="T248" i="48"/>
  <c r="G248" i="48"/>
  <c r="N248" i="48"/>
  <c r="S248" i="48"/>
  <c r="S244" i="48" s="1"/>
  <c r="K248" i="48"/>
  <c r="J248" i="48"/>
  <c r="Q248" i="48"/>
  <c r="M248" i="48"/>
  <c r="L248" i="48"/>
  <c r="I248" i="48"/>
  <c r="R248" i="48"/>
  <c r="P248" i="48"/>
  <c r="H248" i="48"/>
  <c r="U342" i="48"/>
  <c r="U345" i="48"/>
  <c r="U343" i="48"/>
  <c r="U341" i="48"/>
  <c r="U347" i="48"/>
  <c r="U344" i="48"/>
  <c r="R455" i="48"/>
  <c r="R244" i="48"/>
  <c r="O455" i="48"/>
  <c r="G455" i="48"/>
  <c r="G244" i="48"/>
  <c r="Z455" i="48"/>
  <c r="W455" i="48"/>
  <c r="E625" i="48"/>
  <c r="M685" i="48"/>
  <c r="L655" i="48"/>
  <c r="L591" i="48" s="1"/>
  <c r="P775" i="48"/>
  <c r="Q805" i="48"/>
  <c r="O745" i="48"/>
  <c r="N715" i="48"/>
  <c r="N439" i="48"/>
  <c r="N180" i="48"/>
  <c r="N408" i="48" s="1"/>
  <c r="I312" i="48"/>
  <c r="T26" i="47"/>
  <c r="X184" i="45"/>
  <c r="X122" i="45" s="1"/>
  <c r="Q456" i="48"/>
  <c r="Q610" i="48" s="1"/>
  <c r="J456" i="48"/>
  <c r="J610" i="48" s="1"/>
  <c r="C280" i="52"/>
  <c r="Q376" i="48"/>
  <c r="Q372" i="48" s="1"/>
  <c r="G376" i="48"/>
  <c r="P376" i="48"/>
  <c r="P372" i="48" s="1"/>
  <c r="M376" i="48"/>
  <c r="K376" i="48"/>
  <c r="O376" i="48"/>
  <c r="O372" i="48" s="1"/>
  <c r="M143" i="56" s="1"/>
  <c r="N376" i="48"/>
  <c r="J376" i="48"/>
  <c r="J372" i="48" s="1"/>
  <c r="H376" i="48"/>
  <c r="H372" i="48" s="1"/>
  <c r="L376" i="48"/>
  <c r="L372" i="48" s="1"/>
  <c r="I376" i="48"/>
  <c r="H75" i="81"/>
  <c r="G71" i="81"/>
  <c r="H34" i="80"/>
  <c r="N294" i="48"/>
  <c r="N542" i="48" s="1"/>
  <c r="N630" i="48" s="1"/>
  <c r="O270" i="48"/>
  <c r="J139" i="56"/>
  <c r="N271" i="48"/>
  <c r="N631" i="48"/>
  <c r="O685" i="48"/>
  <c r="N655" i="48"/>
  <c r="P715" i="48"/>
  <c r="S805" i="48"/>
  <c r="R775" i="48"/>
  <c r="Q745" i="48"/>
  <c r="H41" i="79"/>
  <c r="K129" i="50"/>
  <c r="M171" i="48"/>
  <c r="N169" i="48"/>
  <c r="C30" i="52"/>
  <c r="J56" i="48"/>
  <c r="K56" i="48"/>
  <c r="K52" i="48" s="1"/>
  <c r="G24" i="48"/>
  <c r="C21" i="52"/>
  <c r="U329" i="48"/>
  <c r="T331" i="48"/>
  <c r="H312" i="48"/>
  <c r="H309" i="48"/>
  <c r="H315" i="48"/>
  <c r="H311" i="48"/>
  <c r="H313" i="48"/>
  <c r="H316" i="48"/>
  <c r="H310" i="48"/>
  <c r="F204" i="52"/>
  <c r="F205" i="52" s="1"/>
  <c r="E205" i="52"/>
  <c r="E196" i="52"/>
  <c r="R233" i="48"/>
  <c r="Q235" i="48"/>
  <c r="M676" i="48"/>
  <c r="L646" i="48"/>
  <c r="Q796" i="48"/>
  <c r="O736" i="48"/>
  <c r="N706" i="48"/>
  <c r="P766" i="48"/>
  <c r="R77" i="48"/>
  <c r="R79" i="48" s="1"/>
  <c r="S73" i="48"/>
  <c r="S83" i="48"/>
  <c r="T74" i="48"/>
  <c r="S75" i="48"/>
  <c r="T78" i="48"/>
  <c r="K111" i="48"/>
  <c r="L110" i="48"/>
  <c r="R674" i="48"/>
  <c r="Q644" i="48"/>
  <c r="T734" i="48"/>
  <c r="S704" i="48"/>
  <c r="U764" i="48"/>
  <c r="V794" i="48"/>
  <c r="H280" i="48"/>
  <c r="H278" i="48"/>
  <c r="H279" i="48"/>
  <c r="H281" i="48"/>
  <c r="H277" i="48"/>
  <c r="H283" i="48"/>
  <c r="M625" i="48"/>
  <c r="M514" i="48"/>
  <c r="R471" i="48"/>
  <c r="R614" i="48" s="1"/>
  <c r="R477" i="48"/>
  <c r="R615" i="48" s="1"/>
  <c r="G110" i="50"/>
  <c r="I15" i="48"/>
  <c r="V76" i="50"/>
  <c r="W7" i="47"/>
  <c r="V32" i="80"/>
  <c r="E55" i="52"/>
  <c r="F54" i="52"/>
  <c r="F55" i="52" s="1"/>
  <c r="E46" i="52"/>
  <c r="F9" i="1"/>
  <c r="G125" i="50"/>
  <c r="G20" i="50"/>
  <c r="J438" i="48"/>
  <c r="E114" i="50"/>
  <c r="E55" i="80"/>
  <c r="C117" i="50"/>
  <c r="G81" i="50"/>
  <c r="I513" i="48"/>
  <c r="I624" i="48" s="1"/>
  <c r="I290" i="48"/>
  <c r="M53" i="48"/>
  <c r="M57" i="48"/>
  <c r="M56" i="48"/>
  <c r="M55" i="48"/>
  <c r="M54" i="48"/>
  <c r="M59" i="48"/>
  <c r="P179" i="48"/>
  <c r="Q170" i="48"/>
  <c r="S380" i="48"/>
  <c r="S374" i="48"/>
  <c r="S456" i="48" s="1"/>
  <c r="S379" i="48"/>
  <c r="S378" i="48" s="1"/>
  <c r="S377" i="48"/>
  <c r="S513" i="48" s="1"/>
  <c r="S373" i="48"/>
  <c r="S376" i="48"/>
  <c r="S375" i="48"/>
  <c r="T455" i="48"/>
  <c r="T244" i="48"/>
  <c r="M455" i="48"/>
  <c r="M244" i="48"/>
  <c r="S455" i="48"/>
  <c r="I455" i="48"/>
  <c r="I244" i="48"/>
  <c r="X455" i="48"/>
  <c r="V455" i="48"/>
  <c r="F79" i="52"/>
  <c r="F80" i="52" s="1"/>
  <c r="E80" i="52"/>
  <c r="E71" i="52"/>
  <c r="R826" i="48"/>
  <c r="T835" i="48"/>
  <c r="R835" i="48"/>
  <c r="R834" i="48"/>
  <c r="H37" i="79"/>
  <c r="K127" i="50"/>
  <c r="L660" i="48"/>
  <c r="L596" i="48" s="1"/>
  <c r="L597" i="48" s="1"/>
  <c r="M690" i="48"/>
  <c r="O750" i="48"/>
  <c r="N720" i="48"/>
  <c r="Q810" i="48"/>
  <c r="P780" i="48"/>
  <c r="Q636" i="48"/>
  <c r="R666" i="48"/>
  <c r="T726" i="48"/>
  <c r="U756" i="48"/>
  <c r="V786" i="48"/>
  <c r="S696" i="48"/>
  <c r="N475" i="48"/>
  <c r="N469" i="48"/>
  <c r="K108" i="50"/>
  <c r="K644" i="48"/>
  <c r="L674" i="48"/>
  <c r="P794" i="48"/>
  <c r="M704" i="48"/>
  <c r="O764" i="48"/>
  <c r="N734" i="48"/>
  <c r="AA124" i="45"/>
  <c r="Z138" i="45"/>
  <c r="Z149" i="45" s="1"/>
  <c r="Q5" i="47"/>
  <c r="W5" i="47" s="1"/>
  <c r="AC5" i="47" s="1"/>
  <c r="V5" i="47"/>
  <c r="AB5" i="47" s="1"/>
  <c r="I52" i="80"/>
  <c r="I54" i="80" s="1"/>
  <c r="J51" i="80" s="1"/>
  <c r="J54" i="80" s="1"/>
  <c r="K51" i="80" s="1"/>
  <c r="K54" i="80" s="1"/>
  <c r="L51" i="80" s="1"/>
  <c r="L54" i="80" s="1"/>
  <c r="M51" i="80" s="1"/>
  <c r="M54" i="80" s="1"/>
  <c r="N51" i="80" s="1"/>
  <c r="N54" i="80" s="1"/>
  <c r="O51" i="80" s="1"/>
  <c r="O54" i="80" s="1"/>
  <c r="P51" i="80" s="1"/>
  <c r="K156" i="45"/>
  <c r="K160" i="45" s="1"/>
  <c r="K143" i="45"/>
  <c r="C21" i="79" s="1"/>
  <c r="C20" i="79"/>
  <c r="I308" i="48"/>
  <c r="I441" i="48"/>
  <c r="I606" i="48" s="1"/>
  <c r="O456" i="48"/>
  <c r="O610" i="48" s="1"/>
  <c r="K456" i="48"/>
  <c r="K610" i="48" s="1"/>
  <c r="K372" i="48"/>
  <c r="M456" i="48"/>
  <c r="M610" i="48" s="1"/>
  <c r="M387" i="48"/>
  <c r="M462" i="48" s="1"/>
  <c r="M372" i="48"/>
  <c r="M6" i="45"/>
  <c r="M5" i="46"/>
  <c r="F13" i="81"/>
  <c r="E11" i="81"/>
  <c r="F37" i="80"/>
  <c r="O212" i="48"/>
  <c r="E130" i="52"/>
  <c r="E121" i="52"/>
  <c r="F129" i="52"/>
  <c r="F130" i="52" s="1"/>
  <c r="U83" i="45"/>
  <c r="E105" i="52"/>
  <c r="F104" i="52"/>
  <c r="F105" i="52" s="1"/>
  <c r="E96" i="52"/>
  <c r="C155" i="52"/>
  <c r="W216" i="48"/>
  <c r="X216" i="48"/>
  <c r="Y216" i="48"/>
  <c r="AA216" i="48"/>
  <c r="Z216" i="48"/>
  <c r="U216" i="48"/>
  <c r="U212" i="48" s="1"/>
  <c r="K216" i="48"/>
  <c r="K212" i="48" s="1"/>
  <c r="I216" i="48"/>
  <c r="N216" i="48"/>
  <c r="G216" i="48"/>
  <c r="V216" i="48"/>
  <c r="S216" i="48"/>
  <c r="L216" i="48"/>
  <c r="O216" i="48"/>
  <c r="T216" i="48"/>
  <c r="J216" i="48"/>
  <c r="H216" i="48"/>
  <c r="Q216" i="48"/>
  <c r="Q212" i="48" s="1"/>
  <c r="M216" i="48"/>
  <c r="M212" i="48" s="1"/>
  <c r="R216" i="48"/>
  <c r="P216" i="48"/>
  <c r="C146" i="52"/>
  <c r="D483" i="48"/>
  <c r="N869" i="48"/>
  <c r="P869" i="48"/>
  <c r="O869" i="48"/>
  <c r="Q869" i="48"/>
  <c r="P846" i="48"/>
  <c r="Q846" i="48"/>
  <c r="P864" i="48"/>
  <c r="Q855" i="48"/>
  <c r="R864" i="48"/>
  <c r="S854" i="48"/>
  <c r="T846" i="48"/>
  <c r="Q854" i="48"/>
  <c r="R846" i="48"/>
  <c r="S850" i="48"/>
  <c r="T864" i="48"/>
  <c r="R855" i="48"/>
  <c r="S855" i="48"/>
  <c r="T850" i="48"/>
  <c r="R854" i="48"/>
  <c r="S846" i="48"/>
  <c r="S864" i="48"/>
  <c r="T854" i="48"/>
  <c r="N851" i="48"/>
  <c r="N865" i="48"/>
  <c r="N867" i="48"/>
  <c r="N593" i="48" s="1"/>
  <c r="Q847" i="48"/>
  <c r="Q851" i="48"/>
  <c r="Q856" i="48"/>
  <c r="Q865" i="48"/>
  <c r="Q868" i="48"/>
  <c r="R856" i="48"/>
  <c r="R868" i="48"/>
  <c r="S856" i="48"/>
  <c r="S868" i="48"/>
  <c r="N856" i="48"/>
  <c r="O847" i="48"/>
  <c r="O856" i="48"/>
  <c r="O865" i="48"/>
  <c r="O868" i="48"/>
  <c r="P865" i="48"/>
  <c r="T868" i="48"/>
  <c r="N861" i="48"/>
  <c r="N868" i="48"/>
  <c r="N594" i="48" s="1"/>
  <c r="N34" i="50" s="1"/>
  <c r="O867" i="48"/>
  <c r="P861" i="48"/>
  <c r="R847" i="48"/>
  <c r="R865" i="48"/>
  <c r="R867" i="48"/>
  <c r="S847" i="48"/>
  <c r="S865" i="48"/>
  <c r="S867" i="48"/>
  <c r="N847" i="48"/>
  <c r="O851" i="48"/>
  <c r="O861" i="48"/>
  <c r="P856" i="48"/>
  <c r="P867" i="48"/>
  <c r="P868" i="48"/>
  <c r="Q867" i="48"/>
  <c r="R851" i="48"/>
  <c r="S851" i="48"/>
  <c r="T847" i="48"/>
  <c r="T856" i="48"/>
  <c r="T865" i="48"/>
  <c r="T867" i="48"/>
  <c r="U854" i="48"/>
  <c r="V850" i="48"/>
  <c r="V861" i="48"/>
  <c r="U856" i="48"/>
  <c r="U855" i="48"/>
  <c r="V846" i="48"/>
  <c r="V864" i="48"/>
  <c r="V856" i="48"/>
  <c r="V867" i="48"/>
  <c r="V868" i="48"/>
  <c r="U851" i="48"/>
  <c r="T855" i="48"/>
  <c r="U846" i="48"/>
  <c r="U864" i="48"/>
  <c r="V854" i="48"/>
  <c r="V847" i="48"/>
  <c r="V865" i="48"/>
  <c r="U861" i="48"/>
  <c r="U867" i="48"/>
  <c r="U868" i="48"/>
  <c r="V851" i="48"/>
  <c r="W850" i="48"/>
  <c r="W847" i="48"/>
  <c r="W856" i="48"/>
  <c r="W865" i="48"/>
  <c r="W855" i="48"/>
  <c r="O870" i="48"/>
  <c r="P870" i="48"/>
  <c r="Q870" i="48"/>
  <c r="Y851" i="48"/>
  <c r="X847" i="48"/>
  <c r="X865" i="48"/>
  <c r="N870" i="48"/>
  <c r="Y856" i="48"/>
  <c r="X851" i="48"/>
  <c r="U847" i="48"/>
  <c r="V855" i="48"/>
  <c r="W846" i="48"/>
  <c r="W854" i="48"/>
  <c r="W851" i="48"/>
  <c r="W861" i="48"/>
  <c r="Y861" i="48"/>
  <c r="X856" i="48"/>
  <c r="U865" i="48"/>
  <c r="W864" i="48"/>
  <c r="W867" i="48"/>
  <c r="W868" i="48"/>
  <c r="Y847" i="48"/>
  <c r="Y865" i="48"/>
  <c r="X861" i="48"/>
  <c r="Y867" i="48"/>
  <c r="R870" i="48"/>
  <c r="Y868" i="48"/>
  <c r="T870" i="48"/>
  <c r="X854" i="48"/>
  <c r="X864" i="48"/>
  <c r="Y855" i="48"/>
  <c r="Y854" i="48"/>
  <c r="X868" i="48"/>
  <c r="X850" i="48"/>
  <c r="X867" i="48"/>
  <c r="S870" i="48"/>
  <c r="X846" i="48"/>
  <c r="X855" i="48"/>
  <c r="Y864" i="48"/>
  <c r="U870" i="48"/>
  <c r="C205" i="52"/>
  <c r="Y280" i="48"/>
  <c r="X280" i="48"/>
  <c r="AA280" i="48"/>
  <c r="Z280" i="48"/>
  <c r="V280" i="48"/>
  <c r="Q280" i="48"/>
  <c r="O280" i="48"/>
  <c r="T280" i="48"/>
  <c r="M280" i="48"/>
  <c r="P280" i="48"/>
  <c r="U280" i="48"/>
  <c r="S280" i="48"/>
  <c r="L280" i="48"/>
  <c r="R280" i="48"/>
  <c r="N280" i="48"/>
  <c r="J280" i="48"/>
  <c r="W280" i="48"/>
  <c r="K280" i="48"/>
  <c r="C196" i="52"/>
  <c r="AE140" i="45"/>
  <c r="AE151" i="45" s="1"/>
  <c r="AF128" i="45"/>
  <c r="AF140" i="45" s="1"/>
  <c r="AF151" i="45" s="1"/>
  <c r="R86" i="48"/>
  <c r="R453" i="48" s="1"/>
  <c r="R89" i="48"/>
  <c r="R510" i="48" s="1"/>
  <c r="R85" i="48"/>
  <c r="R87" i="48"/>
  <c r="R88" i="48"/>
  <c r="R91" i="48"/>
  <c r="G275" i="48"/>
  <c r="G267" i="48"/>
  <c r="R456" i="48"/>
  <c r="R610" i="48" s="1"/>
  <c r="F111" i="50"/>
  <c r="E45" i="80"/>
  <c r="E41" i="79"/>
  <c r="H129" i="50"/>
  <c r="G12" i="1"/>
  <c r="T340" i="48"/>
  <c r="J19" i="48"/>
  <c r="K10" i="48"/>
  <c r="J11" i="48"/>
  <c r="J14" i="48"/>
  <c r="Q119" i="45"/>
  <c r="M84" i="45"/>
  <c r="M45" i="45"/>
  <c r="E230" i="52"/>
  <c r="F229" i="52"/>
  <c r="F230" i="52" s="1"/>
  <c r="E221" i="52"/>
  <c r="F221" i="52" s="1"/>
  <c r="G221" i="52" s="1"/>
  <c r="H85" i="50"/>
  <c r="K514" i="48"/>
  <c r="I611" i="48"/>
  <c r="D462" i="48"/>
  <c r="I280" i="48"/>
  <c r="C255" i="52"/>
  <c r="N344" i="48"/>
  <c r="N340" i="48" s="1"/>
  <c r="L143" i="56" s="1"/>
  <c r="I344" i="48"/>
  <c r="I340" i="48" s="1"/>
  <c r="R344" i="48"/>
  <c r="R340" i="48" s="1"/>
  <c r="H344" i="48"/>
  <c r="H340" i="48" s="1"/>
  <c r="G344" i="48"/>
  <c r="G340" i="48" s="1"/>
  <c r="M344" i="48"/>
  <c r="M340" i="48" s="1"/>
  <c r="P344" i="48"/>
  <c r="P340" i="48" s="1"/>
  <c r="O344" i="48"/>
  <c r="O340" i="48" s="1"/>
  <c r="L344" i="48"/>
  <c r="C246" i="52"/>
  <c r="S344" i="48"/>
  <c r="S340" i="48" s="1"/>
  <c r="K344" i="48"/>
  <c r="J344" i="48"/>
  <c r="J340" i="48" s="1"/>
  <c r="Q344" i="48"/>
  <c r="Q340" i="48" s="1"/>
  <c r="N17" i="45"/>
  <c r="L637" i="48"/>
  <c r="M667" i="48"/>
  <c r="P757" i="48"/>
  <c r="O727" i="48"/>
  <c r="N697" i="48"/>
  <c r="Q787" i="48"/>
  <c r="O42" i="48"/>
  <c r="N51" i="48"/>
  <c r="N43" i="48"/>
  <c r="O46" i="48"/>
  <c r="O47" i="48" s="1"/>
  <c r="E179" i="52"/>
  <c r="U358" i="48"/>
  <c r="U335" i="48"/>
  <c r="H467" i="48"/>
  <c r="H473" i="48"/>
  <c r="J455" i="48"/>
  <c r="J244" i="48"/>
  <c r="Q455" i="48"/>
  <c r="Q244" i="48"/>
  <c r="H455" i="48"/>
  <c r="H244" i="48"/>
  <c r="K455" i="48"/>
  <c r="K244" i="48"/>
  <c r="Y455" i="48"/>
  <c r="D5" i="51"/>
  <c r="C80" i="52"/>
  <c r="O88" i="48"/>
  <c r="J88" i="48"/>
  <c r="M88" i="48"/>
  <c r="P88" i="48"/>
  <c r="Q489" i="48" s="1"/>
  <c r="L88" i="48"/>
  <c r="H88" i="48"/>
  <c r="I88" i="48"/>
  <c r="N88" i="48"/>
  <c r="K88" i="48"/>
  <c r="G88" i="48"/>
  <c r="C71" i="52"/>
  <c r="S840" i="48"/>
  <c r="R817" i="48"/>
  <c r="Q825" i="48"/>
  <c r="Q824" i="48"/>
  <c r="F37" i="79"/>
  <c r="I127" i="50"/>
  <c r="K41" i="47"/>
  <c r="P49" i="45" s="1"/>
  <c r="L40" i="47"/>
  <c r="L52" i="48"/>
  <c r="I456" i="48"/>
  <c r="I610" i="48" s="1"/>
  <c r="I372" i="48"/>
  <c r="G372" i="48"/>
  <c r="N456" i="48"/>
  <c r="N610" i="48" s="1"/>
  <c r="N372" i="48"/>
  <c r="L38" i="81"/>
  <c r="K36" i="81"/>
  <c r="K32" i="81" s="1"/>
  <c r="I113" i="50"/>
  <c r="J113" i="50" s="1"/>
  <c r="K113" i="50" s="1"/>
  <c r="L113" i="50" s="1"/>
  <c r="M113" i="50" s="1"/>
  <c r="N113" i="50" s="1"/>
  <c r="O113" i="50" s="1"/>
  <c r="S23" i="47"/>
  <c r="W181" i="45"/>
  <c r="U165" i="56"/>
  <c r="T171" i="56"/>
  <c r="W207" i="45" s="1"/>
  <c r="W211" i="45" s="1"/>
  <c r="N667" i="48"/>
  <c r="M637" i="48"/>
  <c r="Q757" i="48"/>
  <c r="P727" i="48"/>
  <c r="R787" i="48"/>
  <c r="O697" i="48"/>
  <c r="N212" i="48"/>
  <c r="R212" i="48"/>
  <c r="J212" i="48"/>
  <c r="C130" i="52"/>
  <c r="L184" i="48"/>
  <c r="I184" i="48"/>
  <c r="M184" i="48"/>
  <c r="N490" i="48" s="1"/>
  <c r="J184" i="48"/>
  <c r="G184" i="48"/>
  <c r="H184" i="48"/>
  <c r="K184" i="48"/>
  <c r="C121" i="52"/>
  <c r="Q438" i="48"/>
  <c r="Q84" i="48"/>
  <c r="Q402" i="48" s="1"/>
  <c r="N15" i="45"/>
  <c r="N53" i="45" s="1"/>
  <c r="N13" i="46"/>
  <c r="V46" i="45"/>
  <c r="R38" i="47"/>
  <c r="C105" i="52"/>
  <c r="V120" i="48"/>
  <c r="V116" i="48" s="1"/>
  <c r="W120" i="48"/>
  <c r="W116" i="48" s="1"/>
  <c r="Y120" i="48"/>
  <c r="Y116" i="48" s="1"/>
  <c r="X120" i="48"/>
  <c r="X116" i="48" s="1"/>
  <c r="AA120" i="48"/>
  <c r="AA116" i="48" s="1"/>
  <c r="Z120" i="48"/>
  <c r="Z116" i="48" s="1"/>
  <c r="U120" i="48"/>
  <c r="U116" i="48" s="1"/>
  <c r="H120" i="48"/>
  <c r="H116" i="48" s="1"/>
  <c r="R120" i="48"/>
  <c r="R116" i="48" s="1"/>
  <c r="P120" i="48"/>
  <c r="P116" i="48" s="1"/>
  <c r="G120" i="48"/>
  <c r="G116" i="48" s="1"/>
  <c r="Q120" i="48"/>
  <c r="Q116" i="48" s="1"/>
  <c r="M120" i="48"/>
  <c r="M116" i="48" s="1"/>
  <c r="L120" i="48"/>
  <c r="L116" i="48" s="1"/>
  <c r="O120" i="48"/>
  <c r="O116" i="48" s="1"/>
  <c r="S120" i="48"/>
  <c r="S116" i="48" s="1"/>
  <c r="T120" i="48"/>
  <c r="T116" i="48" s="1"/>
  <c r="N120" i="48"/>
  <c r="N116" i="48" s="1"/>
  <c r="I120" i="48"/>
  <c r="I116" i="48" s="1"/>
  <c r="C96" i="52"/>
  <c r="E30" i="52"/>
  <c r="F29" i="52"/>
  <c r="F30" i="52" s="1"/>
  <c r="E21" i="52"/>
  <c r="J32" i="81"/>
  <c r="J582" i="48"/>
  <c r="E616" i="48"/>
  <c r="K676" i="48"/>
  <c r="J646" i="48"/>
  <c r="M736" i="48"/>
  <c r="O796" i="48"/>
  <c r="L706" i="48"/>
  <c r="N766" i="48"/>
  <c r="M675" i="48"/>
  <c r="L645" i="48"/>
  <c r="O735" i="48"/>
  <c r="Q795" i="48"/>
  <c r="N705" i="48"/>
  <c r="P765" i="48"/>
  <c r="M88" i="45"/>
  <c r="M137" i="45"/>
  <c r="M148" i="45" s="1"/>
  <c r="K119" i="48"/>
  <c r="K117" i="48"/>
  <c r="K118" i="48"/>
  <c r="K123" i="48"/>
  <c r="K120" i="48"/>
  <c r="K124" i="48"/>
  <c r="K121" i="48"/>
  <c r="E68" i="81"/>
  <c r="S361" i="48"/>
  <c r="S365" i="48"/>
  <c r="S367" i="48" s="1"/>
  <c r="R363" i="48"/>
  <c r="M202" i="45"/>
  <c r="R441" i="48"/>
  <c r="R606" i="48" s="1"/>
  <c r="R372" i="48"/>
  <c r="R654" i="48"/>
  <c r="S684" i="48"/>
  <c r="W804" i="48"/>
  <c r="T714" i="48"/>
  <c r="V774" i="48"/>
  <c r="U744" i="48"/>
  <c r="M674" i="48"/>
  <c r="L644" i="48"/>
  <c r="N704" i="48"/>
  <c r="P764" i="48"/>
  <c r="O734" i="48"/>
  <c r="Q794" i="48"/>
  <c r="I24" i="48"/>
  <c r="I22" i="48"/>
  <c r="I452" i="48" s="1"/>
  <c r="I28" i="48"/>
  <c r="I25" i="48"/>
  <c r="I509" i="48" s="1"/>
  <c r="I21" i="48"/>
  <c r="I23" i="48"/>
  <c r="I27" i="48"/>
  <c r="I26" i="48" s="1"/>
  <c r="W203" i="48"/>
  <c r="X201" i="48"/>
  <c r="J5" i="81"/>
  <c r="M59" i="50"/>
  <c r="N51" i="50"/>
  <c r="J45" i="79"/>
  <c r="L676" i="48"/>
  <c r="K646" i="48"/>
  <c r="K582" i="48" s="1"/>
  <c r="N736" i="48"/>
  <c r="M706" i="48"/>
  <c r="O766" i="48"/>
  <c r="P796" i="48"/>
  <c r="D10" i="79"/>
  <c r="G8" i="50"/>
  <c r="G13" i="50" s="1"/>
  <c r="L81" i="45"/>
  <c r="D14" i="79" s="1"/>
  <c r="C55" i="52"/>
  <c r="M60" i="48" s="1"/>
  <c r="I56" i="48"/>
  <c r="I52" i="48" s="1"/>
  <c r="G56" i="48"/>
  <c r="G52" i="48" s="1"/>
  <c r="H56" i="48"/>
  <c r="H52" i="48" s="1"/>
  <c r="C46" i="52"/>
  <c r="C48" i="52" s="1"/>
  <c r="I445" i="48"/>
  <c r="I189" i="48"/>
  <c r="I411" i="48" s="1"/>
  <c r="J120" i="48"/>
  <c r="N174" i="48"/>
  <c r="M175" i="48"/>
  <c r="N18" i="46"/>
  <c r="N18" i="45" s="1"/>
  <c r="N56" i="45" s="1"/>
  <c r="N93" i="45" s="1"/>
  <c r="T390" i="48"/>
  <c r="T542" i="48" s="1"/>
  <c r="F41" i="80"/>
  <c r="L666" i="48"/>
  <c r="K636" i="48"/>
  <c r="P786" i="48"/>
  <c r="M696" i="48"/>
  <c r="N726" i="48"/>
  <c r="O756" i="48"/>
  <c r="V339" i="48"/>
  <c r="W330" i="48"/>
  <c r="V334" i="48"/>
  <c r="H437" i="48"/>
  <c r="I440" i="48"/>
  <c r="H24" i="48"/>
  <c r="H20" i="48" s="1"/>
  <c r="H396" i="48" s="1"/>
  <c r="P455" i="48"/>
  <c r="P244" i="48"/>
  <c r="U455" i="48"/>
  <c r="N455" i="48"/>
  <c r="N244" i="48"/>
  <c r="N414" i="48" s="1"/>
  <c r="L455" i="48"/>
  <c r="L244" i="48"/>
  <c r="AA455" i="48"/>
  <c r="G99" i="50"/>
  <c r="H99" i="50" s="1"/>
  <c r="F12" i="1"/>
  <c r="G129" i="50"/>
  <c r="G45" i="50"/>
  <c r="H45" i="50" s="1"/>
  <c r="I45" i="50" s="1"/>
  <c r="J45" i="50" s="1"/>
  <c r="K45" i="50" s="1"/>
  <c r="L45" i="50" s="1"/>
  <c r="M45" i="50" s="1"/>
  <c r="N45" i="50" s="1"/>
  <c r="O45" i="50" s="1"/>
  <c r="P45" i="50" s="1"/>
  <c r="Q45" i="50" s="1"/>
  <c r="R45" i="50" s="1"/>
  <c r="S45" i="50" s="1"/>
  <c r="T45" i="50" s="1"/>
  <c r="U45" i="50" s="1"/>
  <c r="V45" i="50" s="1"/>
  <c r="W45" i="50" s="1"/>
  <c r="X45" i="50" s="1"/>
  <c r="Y45" i="50" s="1"/>
  <c r="Z45" i="50" s="1"/>
  <c r="AA45" i="50" s="1"/>
  <c r="X834" i="48"/>
  <c r="W824" i="48"/>
  <c r="Q817" i="48"/>
  <c r="S817" i="48"/>
  <c r="R824" i="48"/>
  <c r="R825" i="48"/>
  <c r="J513" i="48"/>
  <c r="J624" i="48" s="1"/>
  <c r="Q864" i="48" s="1"/>
  <c r="I37" i="79"/>
  <c r="L127" i="50"/>
  <c r="L582" i="48" l="1"/>
  <c r="M596" i="48"/>
  <c r="M597" i="48" s="1"/>
  <c r="K96" i="50"/>
  <c r="L93" i="50"/>
  <c r="N33" i="50"/>
  <c r="N35" i="50" s="1"/>
  <c r="H95" i="50"/>
  <c r="H97" i="50" s="1"/>
  <c r="H100" i="50"/>
  <c r="H101" i="50"/>
  <c r="I99" i="50"/>
  <c r="I508" i="48"/>
  <c r="S666" i="48"/>
  <c r="R636" i="48"/>
  <c r="W786" i="48"/>
  <c r="V756" i="48"/>
  <c r="U726" i="48"/>
  <c r="T696" i="48"/>
  <c r="X816" i="48"/>
  <c r="K116" i="48"/>
  <c r="L438" i="48"/>
  <c r="K438" i="48"/>
  <c r="W46" i="45"/>
  <c r="S38" i="47"/>
  <c r="H490" i="48"/>
  <c r="H180" i="48"/>
  <c r="H408" i="48" s="1"/>
  <c r="I490" i="48"/>
  <c r="I180" i="48"/>
  <c r="I408" i="48" s="1"/>
  <c r="T23" i="47"/>
  <c r="X181" i="45"/>
  <c r="M38" i="81"/>
  <c r="L36" i="81"/>
  <c r="L32" i="81" s="1"/>
  <c r="L41" i="47"/>
  <c r="Q49" i="45" s="1"/>
  <c r="M40" i="47"/>
  <c r="G489" i="48"/>
  <c r="G84" i="48"/>
  <c r="G402" i="48" s="1"/>
  <c r="H489" i="48"/>
  <c r="H84" i="48"/>
  <c r="H402" i="48" s="1"/>
  <c r="J489" i="48"/>
  <c r="J84" i="48"/>
  <c r="I492" i="48"/>
  <c r="I619" i="48" s="1"/>
  <c r="J15" i="48"/>
  <c r="S670" i="48"/>
  <c r="R640" i="48"/>
  <c r="V760" i="48"/>
  <c r="W790" i="48"/>
  <c r="U730" i="48"/>
  <c r="T700" i="48"/>
  <c r="X820" i="48"/>
  <c r="J492" i="48"/>
  <c r="J619" i="48" s="1"/>
  <c r="J289" i="48"/>
  <c r="J276" i="48"/>
  <c r="S492" i="48"/>
  <c r="S276" i="48"/>
  <c r="T276" i="48"/>
  <c r="Z276" i="48"/>
  <c r="V284" i="48"/>
  <c r="V282" i="48" s="1"/>
  <c r="W284" i="48"/>
  <c r="W282" i="48" s="1"/>
  <c r="Z284" i="48"/>
  <c r="Z282" i="48" s="1"/>
  <c r="X284" i="48"/>
  <c r="X282" i="48" s="1"/>
  <c r="AA284" i="48"/>
  <c r="AA282" i="48" s="1"/>
  <c r="Y284" i="48"/>
  <c r="Y282" i="48" s="1"/>
  <c r="T284" i="48"/>
  <c r="T282" i="48" s="1"/>
  <c r="M284" i="48"/>
  <c r="M282" i="48" s="1"/>
  <c r="L284" i="48"/>
  <c r="L282" i="48" s="1"/>
  <c r="K284" i="48"/>
  <c r="K282" i="48" s="1"/>
  <c r="S284" i="48"/>
  <c r="S282" i="48" s="1"/>
  <c r="R284" i="48"/>
  <c r="R282" i="48" s="1"/>
  <c r="O284" i="48"/>
  <c r="O282" i="48" s="1"/>
  <c r="N284" i="48"/>
  <c r="N282" i="48" s="1"/>
  <c r="J284" i="48"/>
  <c r="J282" i="48" s="1"/>
  <c r="U284" i="48"/>
  <c r="U282" i="48" s="1"/>
  <c r="Q284" i="48"/>
  <c r="Q282" i="48" s="1"/>
  <c r="P284" i="48"/>
  <c r="P282" i="48" s="1"/>
  <c r="I284" i="48"/>
  <c r="I282" i="48" s="1"/>
  <c r="Y846" i="48"/>
  <c r="P491" i="48"/>
  <c r="H491" i="48"/>
  <c r="L491" i="48"/>
  <c r="N491" i="48"/>
  <c r="Z491" i="48"/>
  <c r="W491" i="48"/>
  <c r="W212" i="48"/>
  <c r="F96" i="52"/>
  <c r="G96" i="52" s="1"/>
  <c r="F121" i="52"/>
  <c r="G121" i="52" s="1"/>
  <c r="K640" i="48"/>
  <c r="L670" i="48"/>
  <c r="O760" i="48"/>
  <c r="P790" i="48"/>
  <c r="N730" i="48"/>
  <c r="M700" i="48"/>
  <c r="Q820" i="48"/>
  <c r="M414" i="48"/>
  <c r="I447" i="48"/>
  <c r="I285" i="48"/>
  <c r="I423" i="48" s="1"/>
  <c r="J116" i="48"/>
  <c r="H284" i="48"/>
  <c r="P212" i="48"/>
  <c r="O294" i="48"/>
  <c r="O542" i="48" s="1"/>
  <c r="O630" i="48" s="1"/>
  <c r="P270" i="48"/>
  <c r="O271" i="48"/>
  <c r="H36" i="80"/>
  <c r="H38" i="80"/>
  <c r="K670" i="48"/>
  <c r="J640" i="48"/>
  <c r="L700" i="48"/>
  <c r="M730" i="48"/>
  <c r="O790" i="48"/>
  <c r="N760" i="48"/>
  <c r="P820" i="48"/>
  <c r="U26" i="47"/>
  <c r="Y184" i="45"/>
  <c r="Y122" i="45" s="1"/>
  <c r="T252" i="48"/>
  <c r="T250" i="48" s="1"/>
  <c r="V252" i="48"/>
  <c r="V250" i="48" s="1"/>
  <c r="W252" i="48"/>
  <c r="W250" i="48" s="1"/>
  <c r="AA252" i="48"/>
  <c r="AA250" i="48" s="1"/>
  <c r="Y252" i="48"/>
  <c r="Y250" i="48" s="1"/>
  <c r="X252" i="48"/>
  <c r="X250" i="48" s="1"/>
  <c r="Z252" i="48"/>
  <c r="Z250" i="48" s="1"/>
  <c r="U252" i="48"/>
  <c r="U250" i="48" s="1"/>
  <c r="Q252" i="48"/>
  <c r="Q250" i="48" s="1"/>
  <c r="K252" i="48"/>
  <c r="K250" i="48" s="1"/>
  <c r="P252" i="48"/>
  <c r="P250" i="48" s="1"/>
  <c r="H252" i="48"/>
  <c r="H250" i="48" s="1"/>
  <c r="L252" i="48"/>
  <c r="L250" i="48" s="1"/>
  <c r="R252" i="48"/>
  <c r="R250" i="48" s="1"/>
  <c r="J252" i="48"/>
  <c r="J250" i="48" s="1"/>
  <c r="M252" i="48"/>
  <c r="M250" i="48" s="1"/>
  <c r="G252" i="48"/>
  <c r="G250" i="48" s="1"/>
  <c r="O252" i="48"/>
  <c r="O250" i="48" s="1"/>
  <c r="I252" i="48"/>
  <c r="I250" i="48" s="1"/>
  <c r="N252" i="48"/>
  <c r="N250" i="48" s="1"/>
  <c r="S252" i="48"/>
  <c r="S250" i="48" s="1"/>
  <c r="U390" i="48"/>
  <c r="U542" i="48" s="1"/>
  <c r="O475" i="48"/>
  <c r="O469" i="48"/>
  <c r="K675" i="48"/>
  <c r="J645" i="48"/>
  <c r="M735" i="48"/>
  <c r="O795" i="48"/>
  <c r="N765" i="48"/>
  <c r="L705" i="48"/>
  <c r="P825" i="48"/>
  <c r="P238" i="48"/>
  <c r="O239" i="48"/>
  <c r="T206" i="48"/>
  <c r="S207" i="48"/>
  <c r="K308" i="48"/>
  <c r="K143" i="56" s="1"/>
  <c r="D480" i="48"/>
  <c r="J659" i="48"/>
  <c r="K689" i="48"/>
  <c r="M749" i="48"/>
  <c r="L719" i="48"/>
  <c r="N779" i="48"/>
  <c r="O809" i="48"/>
  <c r="P839" i="48"/>
  <c r="H540" i="48"/>
  <c r="G124" i="50"/>
  <c r="F8" i="1"/>
  <c r="G14" i="50"/>
  <c r="J49" i="79"/>
  <c r="M130" i="50"/>
  <c r="T365" i="48"/>
  <c r="T367" i="48" s="1"/>
  <c r="T361" i="48"/>
  <c r="S363" i="48"/>
  <c r="K468" i="48"/>
  <c r="L468" i="48"/>
  <c r="K474" i="48"/>
  <c r="L474" i="48"/>
  <c r="V83" i="45"/>
  <c r="G490" i="48"/>
  <c r="G180" i="48"/>
  <c r="G408" i="48" s="1"/>
  <c r="L490" i="48"/>
  <c r="L180" i="48"/>
  <c r="L408" i="48" s="1"/>
  <c r="P86" i="45"/>
  <c r="K489" i="48"/>
  <c r="K84" i="48"/>
  <c r="K402" i="48" s="1"/>
  <c r="L489" i="48"/>
  <c r="L84" i="48"/>
  <c r="L402" i="48" s="1"/>
  <c r="O489" i="48"/>
  <c r="O84" i="48"/>
  <c r="O402" i="48" s="1"/>
  <c r="K414" i="48"/>
  <c r="Q414" i="48"/>
  <c r="N56" i="48"/>
  <c r="N53" i="48"/>
  <c r="N59" i="48"/>
  <c r="N58" i="48" s="1"/>
  <c r="N60" i="48"/>
  <c r="N54" i="48"/>
  <c r="N55" i="48"/>
  <c r="N57" i="48"/>
  <c r="R489" i="48"/>
  <c r="N492" i="48"/>
  <c r="N619" i="48" s="1"/>
  <c r="N276" i="48"/>
  <c r="N420" i="48" s="1"/>
  <c r="U276" i="48"/>
  <c r="O492" i="48"/>
  <c r="O619" i="48" s="1"/>
  <c r="O276" i="48"/>
  <c r="O420" i="48" s="1"/>
  <c r="AA276" i="48"/>
  <c r="R491" i="48"/>
  <c r="J491" i="48"/>
  <c r="S491" i="48"/>
  <c r="I491" i="48"/>
  <c r="AA491" i="48"/>
  <c r="U220" i="48"/>
  <c r="U218" i="48" s="1"/>
  <c r="W220" i="48"/>
  <c r="W218" i="48" s="1"/>
  <c r="Z220" i="48"/>
  <c r="Z218" i="48" s="1"/>
  <c r="X220" i="48"/>
  <c r="X218" i="48" s="1"/>
  <c r="AA220" i="48"/>
  <c r="AA218" i="48" s="1"/>
  <c r="Y220" i="48"/>
  <c r="Y218" i="48" s="1"/>
  <c r="S220" i="48"/>
  <c r="S218" i="48" s="1"/>
  <c r="L220" i="48"/>
  <c r="L218" i="48" s="1"/>
  <c r="I220" i="48"/>
  <c r="I218" i="48" s="1"/>
  <c r="R220" i="48"/>
  <c r="R218" i="48" s="1"/>
  <c r="O220" i="48"/>
  <c r="O218" i="48" s="1"/>
  <c r="M220" i="48"/>
  <c r="M218" i="48" s="1"/>
  <c r="K220" i="48"/>
  <c r="K218" i="48" s="1"/>
  <c r="G220" i="48"/>
  <c r="G218" i="48" s="1"/>
  <c r="P220" i="48"/>
  <c r="P218" i="48" s="1"/>
  <c r="N220" i="48"/>
  <c r="N218" i="48" s="1"/>
  <c r="V220" i="48"/>
  <c r="V218" i="48" s="1"/>
  <c r="H220" i="48"/>
  <c r="H218" i="48" s="1"/>
  <c r="T220" i="48"/>
  <c r="T218" i="48" s="1"/>
  <c r="J220" i="48"/>
  <c r="J218" i="48" s="1"/>
  <c r="Q220" i="48"/>
  <c r="Q218" i="48" s="1"/>
  <c r="H11" i="50"/>
  <c r="E14" i="81"/>
  <c r="H10" i="50"/>
  <c r="E16" i="81" s="1"/>
  <c r="H12" i="50"/>
  <c r="H9" i="50"/>
  <c r="F20" i="81" s="1"/>
  <c r="E6" i="79"/>
  <c r="E60" i="81"/>
  <c r="E15" i="81"/>
  <c r="E54" i="81"/>
  <c r="E56" i="81"/>
  <c r="E55" i="81"/>
  <c r="E59" i="81"/>
  <c r="E58" i="81"/>
  <c r="M611" i="48"/>
  <c r="M457" i="48"/>
  <c r="S471" i="48"/>
  <c r="S477" i="48"/>
  <c r="Q179" i="48"/>
  <c r="R170" i="48"/>
  <c r="M52" i="48"/>
  <c r="J684" i="48"/>
  <c r="I654" i="48"/>
  <c r="M774" i="48"/>
  <c r="L744" i="48"/>
  <c r="N804" i="48"/>
  <c r="K714" i="48"/>
  <c r="O834" i="48"/>
  <c r="E57" i="80"/>
  <c r="E67" i="80"/>
  <c r="G22" i="50"/>
  <c r="H110" i="50"/>
  <c r="G102" i="50"/>
  <c r="F16" i="1" s="1"/>
  <c r="N685" i="48"/>
  <c r="N591" i="48" s="1"/>
  <c r="M655" i="48"/>
  <c r="M591" i="48" s="1"/>
  <c r="Q775" i="48"/>
  <c r="O715" i="48"/>
  <c r="P745" i="48"/>
  <c r="R805" i="48"/>
  <c r="S835" i="48"/>
  <c r="M110" i="48"/>
  <c r="L111" i="48"/>
  <c r="T83" i="48"/>
  <c r="U74" i="48"/>
  <c r="U78" i="48"/>
  <c r="S233" i="48"/>
  <c r="R235" i="48"/>
  <c r="H314" i="48"/>
  <c r="V329" i="48"/>
  <c r="U331" i="48"/>
  <c r="J52" i="48"/>
  <c r="O690" i="48"/>
  <c r="N660" i="48"/>
  <c r="N596" i="48"/>
  <c r="N597" i="48" s="1"/>
  <c r="Q750" i="48"/>
  <c r="P720" i="48"/>
  <c r="S810" i="48"/>
  <c r="R780" i="48"/>
  <c r="T840" i="48"/>
  <c r="R414" i="48"/>
  <c r="U414" i="48"/>
  <c r="K674" i="48"/>
  <c r="J644" i="48"/>
  <c r="M734" i="48"/>
  <c r="O794" i="48"/>
  <c r="N764" i="48"/>
  <c r="L704" i="48"/>
  <c r="P824" i="48"/>
  <c r="Q899" i="48"/>
  <c r="P899" i="48"/>
  <c r="R899" i="48"/>
  <c r="O899" i="48"/>
  <c r="Q889" i="48"/>
  <c r="Q876" i="48"/>
  <c r="Q880" i="48"/>
  <c r="R884" i="48"/>
  <c r="S876" i="48"/>
  <c r="S894" i="48"/>
  <c r="T884" i="48"/>
  <c r="R880" i="48"/>
  <c r="R894" i="48"/>
  <c r="R889" i="48"/>
  <c r="S884" i="48"/>
  <c r="T876" i="48"/>
  <c r="Q894" i="48"/>
  <c r="R876" i="48"/>
  <c r="S880" i="48"/>
  <c r="T894" i="48"/>
  <c r="R885" i="48"/>
  <c r="S885" i="48"/>
  <c r="T880" i="48"/>
  <c r="O881" i="48"/>
  <c r="O891" i="48"/>
  <c r="P886" i="48"/>
  <c r="P897" i="48"/>
  <c r="P898" i="48"/>
  <c r="Q897" i="48"/>
  <c r="R881" i="48"/>
  <c r="S881" i="48"/>
  <c r="T877" i="48"/>
  <c r="T886" i="48"/>
  <c r="T895" i="48"/>
  <c r="T897" i="48"/>
  <c r="P881" i="48"/>
  <c r="Q881" i="48"/>
  <c r="Q886" i="48"/>
  <c r="Q891" i="48"/>
  <c r="Q895" i="48"/>
  <c r="Q898" i="48"/>
  <c r="R886" i="48"/>
  <c r="R898" i="48"/>
  <c r="S886" i="48"/>
  <c r="S898" i="48"/>
  <c r="O877" i="48"/>
  <c r="O886" i="48"/>
  <c r="O895" i="48"/>
  <c r="O591" i="48" s="1"/>
  <c r="O898" i="48"/>
  <c r="O594" i="48" s="1"/>
  <c r="P877" i="48"/>
  <c r="P895" i="48"/>
  <c r="T881" i="48"/>
  <c r="T898" i="48"/>
  <c r="O897" i="48"/>
  <c r="O593" i="48" s="1"/>
  <c r="P891" i="48"/>
  <c r="R877" i="48"/>
  <c r="R895" i="48"/>
  <c r="R897" i="48"/>
  <c r="S877" i="48"/>
  <c r="S895" i="48"/>
  <c r="S897" i="48"/>
  <c r="T885" i="48"/>
  <c r="U876" i="48"/>
  <c r="U894" i="48"/>
  <c r="V884" i="48"/>
  <c r="V881" i="48"/>
  <c r="V895" i="48"/>
  <c r="V897" i="48"/>
  <c r="V898" i="48"/>
  <c r="U897" i="48"/>
  <c r="U898" i="48"/>
  <c r="U884" i="48"/>
  <c r="V880" i="48"/>
  <c r="V877" i="48"/>
  <c r="U886" i="48"/>
  <c r="V886" i="48"/>
  <c r="U877" i="48"/>
  <c r="U895" i="48"/>
  <c r="V885" i="48"/>
  <c r="U885" i="48"/>
  <c r="V876" i="48"/>
  <c r="W889" i="48"/>
  <c r="W894" i="48"/>
  <c r="W897" i="48"/>
  <c r="W898" i="48"/>
  <c r="Z881" i="48"/>
  <c r="Y877" i="48"/>
  <c r="Y895" i="48"/>
  <c r="X891" i="48"/>
  <c r="V889" i="48"/>
  <c r="V894" i="48"/>
  <c r="W880" i="48"/>
  <c r="W877" i="48"/>
  <c r="W886" i="48"/>
  <c r="W895" i="48"/>
  <c r="W885" i="48"/>
  <c r="O900" i="48"/>
  <c r="P900" i="48"/>
  <c r="Q900" i="48"/>
  <c r="Z886" i="48"/>
  <c r="Y881" i="48"/>
  <c r="X877" i="48"/>
  <c r="X895" i="48"/>
  <c r="U880" i="48"/>
  <c r="Z891" i="48"/>
  <c r="Y886" i="48"/>
  <c r="X881" i="48"/>
  <c r="V891" i="48"/>
  <c r="U881" i="48"/>
  <c r="W876" i="48"/>
  <c r="W884" i="48"/>
  <c r="W881" i="48"/>
  <c r="W891" i="48"/>
  <c r="Z877" i="48"/>
  <c r="Z895" i="48"/>
  <c r="Y891" i="48"/>
  <c r="X886" i="48"/>
  <c r="Z898" i="48"/>
  <c r="X897" i="48"/>
  <c r="X894" i="48"/>
  <c r="X884" i="48"/>
  <c r="X880" i="48"/>
  <c r="Z894" i="48"/>
  <c r="Y894" i="48"/>
  <c r="Z885" i="48"/>
  <c r="X885" i="48"/>
  <c r="S900" i="48"/>
  <c r="Y897" i="48"/>
  <c r="Y898" i="48"/>
  <c r="X876" i="48"/>
  <c r="Z880" i="48"/>
  <c r="X898" i="48"/>
  <c r="T900" i="48"/>
  <c r="R900" i="48"/>
  <c r="U900" i="48"/>
  <c r="Y876" i="48"/>
  <c r="Y885" i="48"/>
  <c r="Y884" i="48"/>
  <c r="Z876" i="48"/>
  <c r="Z884" i="48"/>
  <c r="Z897" i="48"/>
  <c r="Y880" i="48"/>
  <c r="W900" i="48"/>
  <c r="V900" i="48"/>
  <c r="J689" i="48"/>
  <c r="I659" i="48"/>
  <c r="L749" i="48"/>
  <c r="M779" i="48"/>
  <c r="N809" i="48"/>
  <c r="K719" i="48"/>
  <c r="O839" i="48"/>
  <c r="Z212" i="48"/>
  <c r="P414" i="48"/>
  <c r="W339" i="48"/>
  <c r="X330" i="48"/>
  <c r="W334" i="48"/>
  <c r="O174" i="48"/>
  <c r="N175" i="48"/>
  <c r="D445" i="48"/>
  <c r="I442" i="48"/>
  <c r="I473" i="48"/>
  <c r="I467" i="48"/>
  <c r="I451" i="48"/>
  <c r="K122" i="48"/>
  <c r="F21" i="52"/>
  <c r="G21" i="52" s="1"/>
  <c r="E23" i="52"/>
  <c r="O15" i="46"/>
  <c r="N13" i="45"/>
  <c r="N219" i="45" s="1"/>
  <c r="G538" i="48"/>
  <c r="H538" i="48" s="1"/>
  <c r="J490" i="48"/>
  <c r="J180" i="48"/>
  <c r="J408" i="48" s="1"/>
  <c r="G188" i="48"/>
  <c r="G186" i="48" s="1"/>
  <c r="G409" i="48" s="1"/>
  <c r="M188" i="48"/>
  <c r="M186" i="48" s="1"/>
  <c r="M409" i="48" s="1"/>
  <c r="K188" i="48"/>
  <c r="K186" i="48" s="1"/>
  <c r="K409" i="48" s="1"/>
  <c r="L188" i="48"/>
  <c r="L186" i="48" s="1"/>
  <c r="L409" i="48" s="1"/>
  <c r="J188" i="48"/>
  <c r="J186" i="48" s="1"/>
  <c r="J409" i="48" s="1"/>
  <c r="I188" i="48"/>
  <c r="I186" i="48" s="1"/>
  <c r="I409" i="48" s="1"/>
  <c r="H188" i="48"/>
  <c r="H186" i="48" s="1"/>
  <c r="H409" i="48" s="1"/>
  <c r="N188" i="48"/>
  <c r="V165" i="56"/>
  <c r="U171" i="56"/>
  <c r="X207" i="45" s="1"/>
  <c r="X211" i="45" s="1"/>
  <c r="O670" i="48"/>
  <c r="N640" i="48"/>
  <c r="Q730" i="48"/>
  <c r="S790" i="48"/>
  <c r="P700" i="48"/>
  <c r="R760" i="48"/>
  <c r="T820" i="48"/>
  <c r="I640" i="48"/>
  <c r="J670" i="48"/>
  <c r="K700" i="48"/>
  <c r="L730" i="48"/>
  <c r="N790" i="48"/>
  <c r="M760" i="48"/>
  <c r="O820" i="48"/>
  <c r="N489" i="48"/>
  <c r="N84" i="48"/>
  <c r="N402" i="48" s="1"/>
  <c r="P489" i="48"/>
  <c r="P84" i="48"/>
  <c r="P402" i="48" s="1"/>
  <c r="J92" i="48"/>
  <c r="J90" i="48" s="1"/>
  <c r="H92" i="48"/>
  <c r="H90" i="48" s="1"/>
  <c r="G92" i="48"/>
  <c r="G90" i="48" s="1"/>
  <c r="O92" i="48"/>
  <c r="O90" i="48" s="1"/>
  <c r="I92" i="48"/>
  <c r="I90" i="48" s="1"/>
  <c r="N92" i="48"/>
  <c r="N90" i="48" s="1"/>
  <c r="K92" i="48"/>
  <c r="K90" i="48" s="1"/>
  <c r="K403" i="48" s="1"/>
  <c r="P92" i="48"/>
  <c r="P90" i="48" s="1"/>
  <c r="L92" i="48"/>
  <c r="L90" i="48" s="1"/>
  <c r="M92" i="48"/>
  <c r="M90" i="48" s="1"/>
  <c r="Q92" i="48"/>
  <c r="E180" i="52"/>
  <c r="F179" i="52"/>
  <c r="F180" i="52" s="1"/>
  <c r="E171" i="52"/>
  <c r="F171" i="52" s="1"/>
  <c r="G171" i="52" s="1"/>
  <c r="P42" i="48"/>
  <c r="O51" i="48"/>
  <c r="O43" i="48"/>
  <c r="P46" i="48"/>
  <c r="P47" i="48" s="1"/>
  <c r="N16" i="46"/>
  <c r="L340" i="48"/>
  <c r="E611" i="48"/>
  <c r="J671" i="48"/>
  <c r="J577" i="48" s="1"/>
  <c r="I641" i="48"/>
  <c r="I577" i="48" s="1"/>
  <c r="L731" i="48"/>
  <c r="L577" i="48" s="1"/>
  <c r="N791" i="48"/>
  <c r="M761" i="48"/>
  <c r="K701" i="48"/>
  <c r="K577" i="48" s="1"/>
  <c r="O821" i="48"/>
  <c r="H83" i="50"/>
  <c r="H39" i="80"/>
  <c r="H72" i="80" s="1"/>
  <c r="J180" i="56"/>
  <c r="R119" i="45"/>
  <c r="L10" i="48"/>
  <c r="K19" i="48"/>
  <c r="K11" i="48"/>
  <c r="K14" i="48"/>
  <c r="E47" i="80"/>
  <c r="R468" i="48"/>
  <c r="R474" i="48"/>
  <c r="R92" i="48"/>
  <c r="R90" i="48" s="1"/>
  <c r="R403" i="48" s="1"/>
  <c r="K492" i="48"/>
  <c r="K619" i="48" s="1"/>
  <c r="S889" i="48" s="1"/>
  <c r="K276" i="48"/>
  <c r="R492" i="48"/>
  <c r="R619" i="48" s="1"/>
  <c r="Z889" i="48" s="1"/>
  <c r="R276" i="48"/>
  <c r="R420" i="48" s="1"/>
  <c r="P492" i="48"/>
  <c r="P619" i="48" s="1"/>
  <c r="X889" i="48" s="1"/>
  <c r="P276" i="48"/>
  <c r="P420" i="48" s="1"/>
  <c r="Q492" i="48"/>
  <c r="Q619" i="48" s="1"/>
  <c r="Q276" i="48"/>
  <c r="Q420" i="48" s="1"/>
  <c r="X276" i="48"/>
  <c r="P851" i="48"/>
  <c r="P850" i="48"/>
  <c r="M497" i="48"/>
  <c r="M491" i="48"/>
  <c r="T491" i="48"/>
  <c r="T497" i="48"/>
  <c r="V491" i="48"/>
  <c r="V497" i="48"/>
  <c r="K497" i="48"/>
  <c r="K491" i="48"/>
  <c r="Y491" i="48"/>
  <c r="Y497" i="48"/>
  <c r="T212" i="48"/>
  <c r="T414" i="48" s="1"/>
  <c r="G13" i="81"/>
  <c r="F11" i="81"/>
  <c r="M640" i="48"/>
  <c r="N670" i="48"/>
  <c r="P730" i="48"/>
  <c r="R790" i="48"/>
  <c r="O700" i="48"/>
  <c r="Q760" i="48"/>
  <c r="S820" i="48"/>
  <c r="P670" i="48"/>
  <c r="O640" i="48"/>
  <c r="R730" i="48"/>
  <c r="Q700" i="48"/>
  <c r="T790" i="48"/>
  <c r="S760" i="48"/>
  <c r="U820" i="48"/>
  <c r="K163" i="45"/>
  <c r="C27" i="79" s="1"/>
  <c r="C26" i="79"/>
  <c r="K161" i="45"/>
  <c r="K164" i="45" s="1"/>
  <c r="AB124" i="45"/>
  <c r="AA138" i="45"/>
  <c r="AA149" i="45" s="1"/>
  <c r="L108" i="50"/>
  <c r="P181" i="48"/>
  <c r="P184" i="48"/>
  <c r="P182" i="48"/>
  <c r="P454" i="48" s="1"/>
  <c r="P185" i="48"/>
  <c r="P511" i="48" s="1"/>
  <c r="P188" i="48"/>
  <c r="P183" i="48"/>
  <c r="P187" i="48"/>
  <c r="F114" i="50"/>
  <c r="E115" i="50"/>
  <c r="E117" i="50"/>
  <c r="F46" i="52"/>
  <c r="G46" i="52" s="1"/>
  <c r="E48" i="52"/>
  <c r="X7" i="47"/>
  <c r="W32" i="80"/>
  <c r="W76" i="50"/>
  <c r="R645" i="48"/>
  <c r="S675" i="48"/>
  <c r="V765" i="48"/>
  <c r="W795" i="48"/>
  <c r="T705" i="48"/>
  <c r="U735" i="48"/>
  <c r="X825" i="48"/>
  <c r="H282" i="48"/>
  <c r="S88" i="48"/>
  <c r="S86" i="48"/>
  <c r="S453" i="48" s="1"/>
  <c r="S87" i="48"/>
  <c r="S92" i="48"/>
  <c r="S91" i="48"/>
  <c r="S85" i="48"/>
  <c r="S89" i="48"/>
  <c r="S510" i="48" s="1"/>
  <c r="F196" i="52"/>
  <c r="G196" i="52" s="1"/>
  <c r="H308" i="48"/>
  <c r="G536" i="48"/>
  <c r="C23" i="52"/>
  <c r="G28" i="48"/>
  <c r="G26" i="48" s="1"/>
  <c r="H28" i="48"/>
  <c r="H26" i="48" s="1"/>
  <c r="S212" i="48"/>
  <c r="S414" i="48" s="1"/>
  <c r="I75" i="81"/>
  <c r="H71" i="81"/>
  <c r="K380" i="48"/>
  <c r="K378" i="48" s="1"/>
  <c r="L380" i="48"/>
  <c r="L378" i="48" s="1"/>
  <c r="Q380" i="48"/>
  <c r="Q378" i="48" s="1"/>
  <c r="O380" i="48"/>
  <c r="O378" i="48" s="1"/>
  <c r="M144" i="56" s="1"/>
  <c r="M145" i="56" s="1"/>
  <c r="N380" i="48"/>
  <c r="N378" i="48" s="1"/>
  <c r="I380" i="48"/>
  <c r="I378" i="48" s="1"/>
  <c r="J380" i="48"/>
  <c r="J378" i="48" s="1"/>
  <c r="H380" i="48"/>
  <c r="H378" i="48" s="1"/>
  <c r="P380" i="48"/>
  <c r="P378" i="48" s="1"/>
  <c r="M380" i="48"/>
  <c r="M378" i="48" s="1"/>
  <c r="G380" i="48"/>
  <c r="G378" i="48" s="1"/>
  <c r="R380" i="48"/>
  <c r="R378" i="48" s="1"/>
  <c r="Q640" i="48"/>
  <c r="R670" i="48"/>
  <c r="U760" i="48"/>
  <c r="V790" i="48"/>
  <c r="T730" i="48"/>
  <c r="S700" i="48"/>
  <c r="W820" i="48"/>
  <c r="D455" i="48"/>
  <c r="U340" i="48"/>
  <c r="T376" i="48"/>
  <c r="T492" i="48" s="1"/>
  <c r="T374" i="48"/>
  <c r="T456" i="48" s="1"/>
  <c r="T375" i="48"/>
  <c r="T373" i="48"/>
  <c r="T377" i="48"/>
  <c r="T513" i="48" s="1"/>
  <c r="T380" i="48"/>
  <c r="T379" i="48"/>
  <c r="O439" i="48"/>
  <c r="O180" i="48"/>
  <c r="O408" i="48" s="1"/>
  <c r="O188" i="48"/>
  <c r="O186" i="48" s="1"/>
  <c r="O409" i="48" s="1"/>
  <c r="F246" i="52"/>
  <c r="G246" i="52" s="1"/>
  <c r="I477" i="48"/>
  <c r="I615" i="48" s="1"/>
  <c r="Q885" i="48" s="1"/>
  <c r="N172" i="45"/>
  <c r="M138" i="45"/>
  <c r="M149" i="45" s="1"/>
  <c r="M91" i="45"/>
  <c r="V316" i="48"/>
  <c r="V314" i="48" s="1"/>
  <c r="T316" i="48"/>
  <c r="T314" i="48" s="1"/>
  <c r="W316" i="48"/>
  <c r="W314" i="48" s="1"/>
  <c r="X316" i="48"/>
  <c r="X314" i="48" s="1"/>
  <c r="Y316" i="48"/>
  <c r="Y314" i="48" s="1"/>
  <c r="Z316" i="48"/>
  <c r="Z314" i="48" s="1"/>
  <c r="AA316" i="48"/>
  <c r="AA314" i="48" s="1"/>
  <c r="O316" i="48"/>
  <c r="O314" i="48" s="1"/>
  <c r="J316" i="48"/>
  <c r="J314" i="48" s="1"/>
  <c r="M316" i="48"/>
  <c r="M314" i="48" s="1"/>
  <c r="L316" i="48"/>
  <c r="L314" i="48" s="1"/>
  <c r="K144" i="56" s="1"/>
  <c r="Q316" i="48"/>
  <c r="Q314" i="48" s="1"/>
  <c r="U316" i="48"/>
  <c r="U314" i="48" s="1"/>
  <c r="R316" i="48"/>
  <c r="R314" i="48" s="1"/>
  <c r="P316" i="48"/>
  <c r="P314" i="48" s="1"/>
  <c r="S316" i="48"/>
  <c r="S314" i="48" s="1"/>
  <c r="G316" i="48"/>
  <c r="G314" i="48" s="1"/>
  <c r="N316" i="48"/>
  <c r="N314" i="48" s="1"/>
  <c r="K316" i="48"/>
  <c r="K314" i="48" s="1"/>
  <c r="I316" i="48"/>
  <c r="I314" i="48" s="1"/>
  <c r="F146" i="52"/>
  <c r="G146" i="52" s="1"/>
  <c r="I212" i="48"/>
  <c r="I414" i="48" s="1"/>
  <c r="N47" i="45"/>
  <c r="N204" i="45"/>
  <c r="Q670" i="48"/>
  <c r="P640" i="48"/>
  <c r="S730" i="48"/>
  <c r="U790" i="48"/>
  <c r="T760" i="48"/>
  <c r="R700" i="48"/>
  <c r="V820" i="48"/>
  <c r="L640" i="48"/>
  <c r="M670" i="48"/>
  <c r="O730" i="48"/>
  <c r="N700" i="48"/>
  <c r="P760" i="48"/>
  <c r="Q790" i="48"/>
  <c r="R820" i="48"/>
  <c r="K629" i="48"/>
  <c r="I540" i="48"/>
  <c r="V212" i="48"/>
  <c r="Y212" i="48"/>
  <c r="M35" i="50"/>
  <c r="H488" i="48"/>
  <c r="H494" i="48"/>
  <c r="V358" i="48"/>
  <c r="V335" i="48"/>
  <c r="K5" i="81"/>
  <c r="N59" i="50"/>
  <c r="O51" i="50"/>
  <c r="K45" i="79"/>
  <c r="J654" i="48"/>
  <c r="K684" i="48"/>
  <c r="O804" i="48"/>
  <c r="L714" i="48"/>
  <c r="N774" i="48"/>
  <c r="M744" i="48"/>
  <c r="P834" i="48"/>
  <c r="V344" i="48"/>
  <c r="V348" i="48"/>
  <c r="V342" i="48"/>
  <c r="V347" i="48"/>
  <c r="V346" i="48" s="1"/>
  <c r="V343" i="48"/>
  <c r="V345" i="48"/>
  <c r="V341" i="48"/>
  <c r="V340" i="48" s="1"/>
  <c r="F43" i="80"/>
  <c r="F45" i="80"/>
  <c r="G60" i="48"/>
  <c r="G58" i="48" s="1"/>
  <c r="H60" i="48"/>
  <c r="H58" i="48" s="1"/>
  <c r="K60" i="48"/>
  <c r="K58" i="48" s="1"/>
  <c r="J60" i="48"/>
  <c r="J58" i="48" s="1"/>
  <c r="I60" i="48"/>
  <c r="I58" i="48" s="1"/>
  <c r="I397" i="48" s="1"/>
  <c r="L60" i="48"/>
  <c r="L58" i="48" s="1"/>
  <c r="Y201" i="48"/>
  <c r="X203" i="48"/>
  <c r="I437" i="48"/>
  <c r="I436" i="48" s="1"/>
  <c r="I20" i="48"/>
  <c r="I396" i="48" s="1"/>
  <c r="J440" i="48"/>
  <c r="I494" i="48"/>
  <c r="I488" i="48"/>
  <c r="L510" i="48"/>
  <c r="K510" i="48"/>
  <c r="K453" i="48"/>
  <c r="L453" i="48"/>
  <c r="V124" i="48"/>
  <c r="V122" i="48" s="1"/>
  <c r="W124" i="48"/>
  <c r="W122" i="48" s="1"/>
  <c r="Z124" i="48"/>
  <c r="Z122" i="48" s="1"/>
  <c r="AA124" i="48"/>
  <c r="AA122" i="48" s="1"/>
  <c r="X124" i="48"/>
  <c r="X122" i="48" s="1"/>
  <c r="Y124" i="48"/>
  <c r="Y122" i="48" s="1"/>
  <c r="G124" i="48"/>
  <c r="G122" i="48" s="1"/>
  <c r="Q124" i="48"/>
  <c r="Q122" i="48" s="1"/>
  <c r="L124" i="48"/>
  <c r="L122" i="48" s="1"/>
  <c r="S124" i="48"/>
  <c r="S122" i="48" s="1"/>
  <c r="T124" i="48"/>
  <c r="T122" i="48" s="1"/>
  <c r="M124" i="48"/>
  <c r="M122" i="48" s="1"/>
  <c r="N124" i="48"/>
  <c r="N122" i="48" s="1"/>
  <c r="U124" i="48"/>
  <c r="U122" i="48" s="1"/>
  <c r="H124" i="48"/>
  <c r="H122" i="48" s="1"/>
  <c r="O124" i="48"/>
  <c r="O122" i="48" s="1"/>
  <c r="R124" i="48"/>
  <c r="R122" i="48" s="1"/>
  <c r="P124" i="48"/>
  <c r="P122" i="48" s="1"/>
  <c r="I124" i="48"/>
  <c r="I122" i="48" s="1"/>
  <c r="J124" i="48"/>
  <c r="J122" i="48" s="1"/>
  <c r="N51" i="45"/>
  <c r="N90" i="45"/>
  <c r="K490" i="48"/>
  <c r="K496" i="48"/>
  <c r="K180" i="48"/>
  <c r="K408" i="48" s="1"/>
  <c r="K410" i="48" s="1"/>
  <c r="M496" i="48"/>
  <c r="M490" i="48"/>
  <c r="M180" i="48"/>
  <c r="M408" i="48" s="1"/>
  <c r="M410" i="48" s="1"/>
  <c r="G537" i="48"/>
  <c r="H537" i="48" s="1"/>
  <c r="I495" i="48"/>
  <c r="I489" i="48"/>
  <c r="I97" i="48"/>
  <c r="I84" i="48"/>
  <c r="I402" i="48" s="1"/>
  <c r="M495" i="48"/>
  <c r="M489" i="48"/>
  <c r="M84" i="48"/>
  <c r="M402" i="48" s="1"/>
  <c r="J414" i="48"/>
  <c r="N55" i="45"/>
  <c r="N203" i="45"/>
  <c r="K340" i="48"/>
  <c r="P348" i="48"/>
  <c r="P346" i="48" s="1"/>
  <c r="L348" i="48"/>
  <c r="L346" i="48" s="1"/>
  <c r="I348" i="48"/>
  <c r="I346" i="48" s="1"/>
  <c r="H348" i="48"/>
  <c r="H346" i="48" s="1"/>
  <c r="M348" i="48"/>
  <c r="M346" i="48" s="1"/>
  <c r="O348" i="48"/>
  <c r="O346" i="48" s="1"/>
  <c r="N348" i="48"/>
  <c r="N346" i="48" s="1"/>
  <c r="L144" i="56" s="1"/>
  <c r="L145" i="56" s="1"/>
  <c r="R348" i="48"/>
  <c r="R346" i="48" s="1"/>
  <c r="G348" i="48"/>
  <c r="G346" i="48" s="1"/>
  <c r="Q348" i="48"/>
  <c r="Q346" i="48" s="1"/>
  <c r="K348" i="48"/>
  <c r="K346" i="48" s="1"/>
  <c r="S348" i="48"/>
  <c r="S346" i="48" s="1"/>
  <c r="J348" i="48"/>
  <c r="J346" i="48" s="1"/>
  <c r="T348" i="48"/>
  <c r="T346" i="48" s="1"/>
  <c r="H109" i="50"/>
  <c r="M44" i="45"/>
  <c r="M82" i="45"/>
  <c r="J22" i="48"/>
  <c r="J452" i="48" s="1"/>
  <c r="J451" i="48" s="1"/>
  <c r="J27" i="48"/>
  <c r="J25" i="48"/>
  <c r="J21" i="48"/>
  <c r="J24" i="48"/>
  <c r="J28" i="48"/>
  <c r="J23" i="48"/>
  <c r="G111" i="50"/>
  <c r="G280" i="48"/>
  <c r="G277" i="48"/>
  <c r="G278" i="48"/>
  <c r="G456" i="48" s="1"/>
  <c r="G279" i="48"/>
  <c r="H471" i="48" s="1"/>
  <c r="G281" i="48"/>
  <c r="G513" i="48" s="1"/>
  <c r="G283" i="48"/>
  <c r="G282" i="48" s="1"/>
  <c r="G421" i="48" s="1"/>
  <c r="G284" i="48"/>
  <c r="R438" i="48"/>
  <c r="R84" i="48"/>
  <c r="R402" i="48" s="1"/>
  <c r="W276" i="48"/>
  <c r="L498" i="48"/>
  <c r="L620" i="48" s="1"/>
  <c r="L492" i="48"/>
  <c r="L619" i="48" s="1"/>
  <c r="L276" i="48"/>
  <c r="L420" i="48" s="1"/>
  <c r="M492" i="48"/>
  <c r="M619" i="48" s="1"/>
  <c r="U889" i="48" s="1"/>
  <c r="M276" i="48"/>
  <c r="M420" i="48" s="1"/>
  <c r="V276" i="48"/>
  <c r="Y276" i="48"/>
  <c r="Y850" i="48"/>
  <c r="U850" i="48"/>
  <c r="Q850" i="48"/>
  <c r="R850" i="48"/>
  <c r="G539" i="48"/>
  <c r="J539" i="48" s="1"/>
  <c r="Q497" i="48"/>
  <c r="Q491" i="48"/>
  <c r="O497" i="48"/>
  <c r="O491" i="48"/>
  <c r="G491" i="48"/>
  <c r="G497" i="48"/>
  <c r="U497" i="48"/>
  <c r="U491" i="48"/>
  <c r="X491" i="48"/>
  <c r="X497" i="48"/>
  <c r="H212" i="48"/>
  <c r="H414" i="48" s="1"/>
  <c r="F40" i="80"/>
  <c r="J666" i="48"/>
  <c r="I636" i="48"/>
  <c r="N786" i="48"/>
  <c r="M756" i="48"/>
  <c r="L726" i="48"/>
  <c r="K696" i="48"/>
  <c r="O816" i="48"/>
  <c r="F71" i="52"/>
  <c r="G71" i="52" s="1"/>
  <c r="S441" i="48"/>
  <c r="S372" i="48"/>
  <c r="M58" i="48"/>
  <c r="I276" i="48"/>
  <c r="I420" i="48" s="1"/>
  <c r="S674" i="48"/>
  <c r="R644" i="48"/>
  <c r="W794" i="48"/>
  <c r="V764" i="48"/>
  <c r="U734" i="48"/>
  <c r="T704" i="48"/>
  <c r="X824" i="48"/>
  <c r="H276" i="48"/>
  <c r="H420" i="48" s="1"/>
  <c r="T73" i="48"/>
  <c r="S77" i="48"/>
  <c r="S79" i="48" s="1"/>
  <c r="G488" i="48"/>
  <c r="G494" i="48"/>
  <c r="G20" i="48"/>
  <c r="G396" i="48" s="1"/>
  <c r="O169" i="48"/>
  <c r="N171" i="48"/>
  <c r="L212" i="48"/>
  <c r="L414" i="48" s="1"/>
  <c r="J140" i="56"/>
  <c r="N139" i="56"/>
  <c r="N140" i="56" s="1"/>
  <c r="U348" i="48"/>
  <c r="U346" i="48" s="1"/>
  <c r="U371" i="48"/>
  <c r="V362" i="48"/>
  <c r="V366" i="48"/>
  <c r="O496" i="48"/>
  <c r="O490" i="48"/>
  <c r="I471" i="48"/>
  <c r="I614" i="48" s="1"/>
  <c r="O12" i="45"/>
  <c r="O50" i="45" s="1"/>
  <c r="O10" i="46"/>
  <c r="N676" i="48"/>
  <c r="N582" i="48" s="1"/>
  <c r="M646" i="48"/>
  <c r="M582" i="48" s="1"/>
  <c r="R796" i="48"/>
  <c r="O706" i="48"/>
  <c r="O582" i="48" s="1"/>
  <c r="P736" i="48"/>
  <c r="Q766" i="48"/>
  <c r="S826" i="48"/>
  <c r="D904" i="48"/>
  <c r="E904" i="48"/>
  <c r="C934" i="48"/>
  <c r="G212" i="48"/>
  <c r="G414" i="48" s="1"/>
  <c r="N6" i="46"/>
  <c r="N7" i="45"/>
  <c r="O9" i="46"/>
  <c r="D478" i="48"/>
  <c r="H17" i="50"/>
  <c r="H19" i="50" s="1"/>
  <c r="H20" i="50" s="1"/>
  <c r="AA212" i="48"/>
  <c r="L629" i="48"/>
  <c r="I689" i="48"/>
  <c r="H659" i="48"/>
  <c r="H595" i="48" s="1"/>
  <c r="M809" i="48"/>
  <c r="K749" i="48"/>
  <c r="J719" i="48"/>
  <c r="L779" i="48"/>
  <c r="N839" i="48"/>
  <c r="X212" i="48"/>
  <c r="L96" i="50" l="1"/>
  <c r="M93" i="50"/>
  <c r="I595" i="48"/>
  <c r="J595" i="48"/>
  <c r="H614" i="48"/>
  <c r="H466" i="48"/>
  <c r="M35" i="45" s="1"/>
  <c r="O33" i="50"/>
  <c r="O34" i="50"/>
  <c r="J674" i="48"/>
  <c r="I644" i="48"/>
  <c r="L734" i="48"/>
  <c r="K704" i="48"/>
  <c r="M764" i="48"/>
  <c r="N794" i="48"/>
  <c r="O824" i="48"/>
  <c r="P854" i="48"/>
  <c r="V390" i="48"/>
  <c r="V542" i="48" s="1"/>
  <c r="G37" i="80"/>
  <c r="D491" i="48"/>
  <c r="G610" i="48"/>
  <c r="H111" i="50"/>
  <c r="I111" i="50" s="1"/>
  <c r="J437" i="48"/>
  <c r="J436" i="48" s="1"/>
  <c r="J20" i="48"/>
  <c r="J396" i="48" s="1"/>
  <c r="K440" i="48"/>
  <c r="N202" i="45"/>
  <c r="I501" i="48"/>
  <c r="I93" i="48"/>
  <c r="I405" i="48" s="1"/>
  <c r="I430" i="48" s="1"/>
  <c r="I537" i="48"/>
  <c r="I487" i="48"/>
  <c r="N26" i="45" s="1"/>
  <c r="N29" i="45"/>
  <c r="N66" i="45"/>
  <c r="G41" i="80"/>
  <c r="J37" i="79"/>
  <c r="M127" i="50"/>
  <c r="K595" i="48"/>
  <c r="L689" i="48"/>
  <c r="K659" i="48"/>
  <c r="N749" i="48"/>
  <c r="P809" i="48"/>
  <c r="M719" i="48"/>
  <c r="O779" i="48"/>
  <c r="Q839" i="48"/>
  <c r="N629" i="48"/>
  <c r="M629" i="48"/>
  <c r="R869" i="48"/>
  <c r="T378" i="48"/>
  <c r="T477" i="48"/>
  <c r="T471" i="48"/>
  <c r="G451" i="48"/>
  <c r="H477" i="48"/>
  <c r="P186" i="48"/>
  <c r="P409" i="48" s="1"/>
  <c r="M108" i="50"/>
  <c r="H13" i="81"/>
  <c r="G11" i="81"/>
  <c r="P498" i="48"/>
  <c r="P620" i="48" s="1"/>
  <c r="R498" i="48"/>
  <c r="R620" i="48" s="1"/>
  <c r="F44" i="80"/>
  <c r="M10" i="48"/>
  <c r="L19" i="48"/>
  <c r="L11" i="48"/>
  <c r="L14" i="48"/>
  <c r="J192" i="56"/>
  <c r="N180" i="56"/>
  <c r="N192" i="56" s="1"/>
  <c r="R180" i="56"/>
  <c r="S180" i="56" s="1"/>
  <c r="O17" i="46"/>
  <c r="O18" i="46"/>
  <c r="O18" i="45" s="1"/>
  <c r="O56" i="45" s="1"/>
  <c r="O93" i="45" s="1"/>
  <c r="N16" i="45"/>
  <c r="N220" i="45" s="1"/>
  <c r="P51" i="48"/>
  <c r="Q42" i="48"/>
  <c r="P43" i="48"/>
  <c r="Q46" i="48"/>
  <c r="Q47" i="48" s="1"/>
  <c r="P403" i="48"/>
  <c r="O403" i="48"/>
  <c r="P404" i="48"/>
  <c r="N495" i="48"/>
  <c r="W165" i="56"/>
  <c r="V171" i="56"/>
  <c r="Y207" i="45" s="1"/>
  <c r="Y211" i="45" s="1"/>
  <c r="J496" i="48"/>
  <c r="O13" i="46"/>
  <c r="O15" i="45"/>
  <c r="O53" i="45" s="1"/>
  <c r="N69" i="45"/>
  <c r="N32" i="45"/>
  <c r="W342" i="48"/>
  <c r="W345" i="48"/>
  <c r="W347" i="48"/>
  <c r="W346" i="48" s="1"/>
  <c r="W344" i="48"/>
  <c r="W343" i="48"/>
  <c r="W348" i="48"/>
  <c r="W341" i="48"/>
  <c r="W340" i="48" s="1"/>
  <c r="J540" i="48"/>
  <c r="U416" i="48"/>
  <c r="J65" i="48"/>
  <c r="J61" i="48" s="1"/>
  <c r="V74" i="48"/>
  <c r="U83" i="48"/>
  <c r="U75" i="48"/>
  <c r="V78" i="48"/>
  <c r="N110" i="48"/>
  <c r="M111" i="48"/>
  <c r="F55" i="80"/>
  <c r="E69" i="80"/>
  <c r="Q184" i="48"/>
  <c r="Q181" i="48"/>
  <c r="Q183" i="48"/>
  <c r="Q185" i="48"/>
  <c r="Q511" i="48" s="1"/>
  <c r="Q188" i="48"/>
  <c r="Q187" i="48"/>
  <c r="Q186" i="48" s="1"/>
  <c r="Q409" i="48" s="1"/>
  <c r="Q182" i="48"/>
  <c r="Q454" i="48" s="1"/>
  <c r="D457" i="48"/>
  <c r="S497" i="48"/>
  <c r="O498" i="48"/>
  <c r="O620" i="48" s="1"/>
  <c r="L495" i="48"/>
  <c r="L496" i="48"/>
  <c r="G496" i="48"/>
  <c r="M36" i="50"/>
  <c r="N36" i="50" s="1"/>
  <c r="U206" i="48"/>
  <c r="T207" i="48"/>
  <c r="S415" i="48"/>
  <c r="S416" i="48" s="1"/>
  <c r="G415" i="48"/>
  <c r="G416" i="48" s="1"/>
  <c r="L415" i="48"/>
  <c r="L416" i="48" s="1"/>
  <c r="Q415" i="48"/>
  <c r="T415" i="48"/>
  <c r="T416" i="48" s="1"/>
  <c r="V26" i="47"/>
  <c r="Z184" i="45"/>
  <c r="Z122" i="45" s="1"/>
  <c r="P421" i="48"/>
  <c r="N421" i="48"/>
  <c r="N422" i="48" s="1"/>
  <c r="K421" i="48"/>
  <c r="S420" i="48"/>
  <c r="J504" i="48"/>
  <c r="J285" i="48"/>
  <c r="J423" i="48" s="1"/>
  <c r="J402" i="48"/>
  <c r="H495" i="48"/>
  <c r="N38" i="81"/>
  <c r="M36" i="81"/>
  <c r="M32" i="81" s="1"/>
  <c r="I410" i="48"/>
  <c r="G160" i="56" s="1"/>
  <c r="H496" i="48"/>
  <c r="W83" i="45"/>
  <c r="J129" i="48"/>
  <c r="M689" i="48"/>
  <c r="L659" i="48"/>
  <c r="L595" i="48" s="1"/>
  <c r="Q809" i="48"/>
  <c r="O749" i="48"/>
  <c r="N719" i="48"/>
  <c r="P779" i="48"/>
  <c r="R839" i="48"/>
  <c r="S869" i="48"/>
  <c r="O7" i="46"/>
  <c r="O9" i="45"/>
  <c r="D934" i="48"/>
  <c r="E934" i="48"/>
  <c r="C964" i="48"/>
  <c r="P12" i="46"/>
  <c r="O10" i="45"/>
  <c r="O31" i="46"/>
  <c r="V371" i="48"/>
  <c r="W362" i="48"/>
  <c r="W366" i="48"/>
  <c r="P169" i="48"/>
  <c r="O171" i="48"/>
  <c r="H422" i="48"/>
  <c r="L649" i="48"/>
  <c r="M679" i="48"/>
  <c r="O739" i="48"/>
  <c r="N709" i="48"/>
  <c r="P769" i="48"/>
  <c r="Q799" i="48"/>
  <c r="R829" i="48"/>
  <c r="S859" i="48"/>
  <c r="G276" i="48"/>
  <c r="G420" i="48" s="1"/>
  <c r="G422" i="48" s="1"/>
  <c r="G441" i="48"/>
  <c r="J467" i="48"/>
  <c r="J473" i="48"/>
  <c r="J472" i="48" s="1"/>
  <c r="O72" i="45" s="1"/>
  <c r="J509" i="48"/>
  <c r="J37" i="48"/>
  <c r="J515" i="48" s="1"/>
  <c r="N54" i="45"/>
  <c r="N92" i="45"/>
  <c r="N88" i="45"/>
  <c r="N137" i="45"/>
  <c r="N148" i="45" s="1"/>
  <c r="L5" i="81"/>
  <c r="O59" i="50"/>
  <c r="P51" i="50"/>
  <c r="L45" i="79"/>
  <c r="J75" i="81"/>
  <c r="I71" i="81"/>
  <c r="H397" i="48"/>
  <c r="G535" i="48"/>
  <c r="S474" i="48"/>
  <c r="S468" i="48"/>
  <c r="X76" i="50"/>
  <c r="Y7" i="47"/>
  <c r="X32" i="80"/>
  <c r="P475" i="48"/>
  <c r="P469" i="48"/>
  <c r="P490" i="48"/>
  <c r="P496" i="48"/>
  <c r="R679" i="48"/>
  <c r="Q649" i="48"/>
  <c r="V799" i="48"/>
  <c r="S709" i="48"/>
  <c r="U769" i="48"/>
  <c r="T739" i="48"/>
  <c r="W829" i="48"/>
  <c r="X859" i="48"/>
  <c r="P649" i="48"/>
  <c r="Q679" i="48"/>
  <c r="S739" i="48"/>
  <c r="R709" i="48"/>
  <c r="U799" i="48"/>
  <c r="T769" i="48"/>
  <c r="V829" i="48"/>
  <c r="W859" i="48"/>
  <c r="K420" i="48"/>
  <c r="K422" i="48" s="1"/>
  <c r="K15" i="48"/>
  <c r="S119" i="45"/>
  <c r="Q495" i="48"/>
  <c r="Q90" i="48"/>
  <c r="Q403" i="48" s="1"/>
  <c r="Q404" i="48" s="1"/>
  <c r="G403" i="48"/>
  <c r="I466" i="48"/>
  <c r="N35" i="45" s="1"/>
  <c r="W358" i="48"/>
  <c r="W335" i="48"/>
  <c r="S235" i="48"/>
  <c r="T233" i="48"/>
  <c r="T89" i="48"/>
  <c r="T510" i="48" s="1"/>
  <c r="T88" i="48"/>
  <c r="T86" i="48"/>
  <c r="T453" i="48" s="1"/>
  <c r="T85" i="48"/>
  <c r="T87" i="48"/>
  <c r="T92" i="48"/>
  <c r="T91" i="48"/>
  <c r="T90" i="48" s="1"/>
  <c r="T403" i="48" s="1"/>
  <c r="H513" i="48"/>
  <c r="I110" i="50"/>
  <c r="H102" i="50"/>
  <c r="N671" i="48"/>
  <c r="N577" i="48" s="1"/>
  <c r="M641" i="48"/>
  <c r="M577" i="48" s="1"/>
  <c r="P731" i="48"/>
  <c r="Q761" i="48"/>
  <c r="R791" i="48"/>
  <c r="O701" i="48"/>
  <c r="O577" i="48" s="1"/>
  <c r="S821" i="48"/>
  <c r="T851" i="48"/>
  <c r="I497" i="48"/>
  <c r="O679" i="48"/>
  <c r="N649" i="48"/>
  <c r="Q739" i="48"/>
  <c r="R769" i="48"/>
  <c r="S799" i="48"/>
  <c r="P709" i="48"/>
  <c r="T829" i="48"/>
  <c r="U859" i="48"/>
  <c r="Q416" i="48"/>
  <c r="O495" i="48"/>
  <c r="F159" i="56"/>
  <c r="K404" i="48"/>
  <c r="U365" i="48"/>
  <c r="U367" i="48" s="1"/>
  <c r="U361" i="48"/>
  <c r="T363" i="48"/>
  <c r="K145" i="56"/>
  <c r="N415" i="48"/>
  <c r="N416" i="48" s="1"/>
  <c r="M415" i="48"/>
  <c r="M416" i="48" s="1"/>
  <c r="H415" i="48"/>
  <c r="H416" i="48" s="1"/>
  <c r="U415" i="48"/>
  <c r="Q270" i="48"/>
  <c r="P294" i="48"/>
  <c r="P542" i="48" s="1"/>
  <c r="P271" i="48"/>
  <c r="Z497" i="48"/>
  <c r="Q421" i="48"/>
  <c r="Q422" i="48" s="1"/>
  <c r="O421" i="48"/>
  <c r="L421" i="48"/>
  <c r="L422" i="48" s="1"/>
  <c r="K679" i="48"/>
  <c r="J649" i="48"/>
  <c r="N769" i="48"/>
  <c r="M739" i="48"/>
  <c r="L709" i="48"/>
  <c r="O799" i="48"/>
  <c r="P829" i="48"/>
  <c r="Q859" i="48"/>
  <c r="J495" i="48"/>
  <c r="N40" i="47"/>
  <c r="M41" i="47"/>
  <c r="R49" i="45" s="1"/>
  <c r="I101" i="50"/>
  <c r="I95" i="50"/>
  <c r="I97" i="50" s="1"/>
  <c r="I100" i="50"/>
  <c r="J99" i="50"/>
  <c r="O87" i="45"/>
  <c r="O48" i="45"/>
  <c r="U379" i="48"/>
  <c r="U377" i="48"/>
  <c r="U513" i="48" s="1"/>
  <c r="U380" i="48"/>
  <c r="U374" i="48"/>
  <c r="U456" i="48" s="1"/>
  <c r="U375" i="48"/>
  <c r="U376" i="48"/>
  <c r="U492" i="48" s="1"/>
  <c r="U373" i="48"/>
  <c r="U73" i="48"/>
  <c r="T77" i="48"/>
  <c r="T79" i="48" s="1"/>
  <c r="D539" i="48"/>
  <c r="N679" i="48"/>
  <c r="M649" i="48"/>
  <c r="R799" i="48"/>
  <c r="Q769" i="48"/>
  <c r="P739" i="48"/>
  <c r="O709" i="48"/>
  <c r="S829" i="48"/>
  <c r="T859" i="48"/>
  <c r="L650" i="48"/>
  <c r="M680" i="48"/>
  <c r="O740" i="48"/>
  <c r="Q800" i="48"/>
  <c r="N710" i="48"/>
  <c r="P770" i="48"/>
  <c r="R830" i="48"/>
  <c r="S860" i="48"/>
  <c r="R404" i="48"/>
  <c r="G624" i="48"/>
  <c r="D513" i="48"/>
  <c r="G508" i="48"/>
  <c r="G492" i="48"/>
  <c r="G498" i="48"/>
  <c r="J26" i="48"/>
  <c r="J397" i="48" s="1"/>
  <c r="H8" i="50"/>
  <c r="H13" i="50" s="1"/>
  <c r="E10" i="79"/>
  <c r="M81" i="45"/>
  <c r="E14" i="79" s="1"/>
  <c r="F161" i="56"/>
  <c r="Z201" i="48"/>
  <c r="Y203" i="48"/>
  <c r="K49" i="79"/>
  <c r="N130" i="50"/>
  <c r="O410" i="48"/>
  <c r="G397" i="48"/>
  <c r="G428" i="48" s="1"/>
  <c r="H441" i="48"/>
  <c r="S438" i="48"/>
  <c r="S84" i="48"/>
  <c r="S402" i="48" s="1"/>
  <c r="H421" i="48"/>
  <c r="F115" i="50"/>
  <c r="E59" i="80"/>
  <c r="E118" i="50"/>
  <c r="E119" i="50" s="1"/>
  <c r="P439" i="48"/>
  <c r="P180" i="48"/>
  <c r="P408" i="48" s="1"/>
  <c r="P410" i="48" s="1"/>
  <c r="Q498" i="48"/>
  <c r="Q620" i="48" s="1"/>
  <c r="R422" i="48"/>
  <c r="L679" i="48"/>
  <c r="K649" i="48"/>
  <c r="N739" i="48"/>
  <c r="P799" i="48"/>
  <c r="O769" i="48"/>
  <c r="M709" i="48"/>
  <c r="Q829" i="48"/>
  <c r="R859" i="48"/>
  <c r="E48" i="79"/>
  <c r="H81" i="50"/>
  <c r="M403" i="48"/>
  <c r="M404" i="48" s="1"/>
  <c r="N403" i="48"/>
  <c r="H403" i="48"/>
  <c r="P495" i="48"/>
  <c r="N186" i="48"/>
  <c r="N409" i="48" s="1"/>
  <c r="N410" i="48" s="1"/>
  <c r="N496" i="48"/>
  <c r="J410" i="48"/>
  <c r="F160" i="56"/>
  <c r="I472" i="48"/>
  <c r="N72" i="45" s="1"/>
  <c r="P174" i="48"/>
  <c r="O175" i="48"/>
  <c r="X334" i="48"/>
  <c r="X335" i="48" s="1"/>
  <c r="Y330" i="48"/>
  <c r="X339" i="48"/>
  <c r="T890" i="48"/>
  <c r="W329" i="48"/>
  <c r="V331" i="48"/>
  <c r="G23" i="50"/>
  <c r="F58" i="81"/>
  <c r="J497" i="48"/>
  <c r="O422" i="48"/>
  <c r="F162" i="56"/>
  <c r="N498" i="48"/>
  <c r="N620" i="48" s="1"/>
  <c r="N52" i="48"/>
  <c r="G410" i="48"/>
  <c r="K321" i="48"/>
  <c r="Q238" i="48"/>
  <c r="P239" i="48"/>
  <c r="I415" i="48"/>
  <c r="I416" i="48" s="1"/>
  <c r="J415" i="48"/>
  <c r="J416" i="48" s="1"/>
  <c r="G161" i="56" s="1"/>
  <c r="H161" i="56" s="1"/>
  <c r="P415" i="48"/>
  <c r="P416" i="48" s="1"/>
  <c r="P690" i="48"/>
  <c r="O660" i="48"/>
  <c r="O596" i="48" s="1"/>
  <c r="O597" i="48" s="1"/>
  <c r="S780" i="48"/>
  <c r="T810" i="48"/>
  <c r="Q720" i="48"/>
  <c r="R750" i="48"/>
  <c r="U840" i="48"/>
  <c r="V870" i="48"/>
  <c r="H498" i="48"/>
  <c r="H620" i="48" s="1"/>
  <c r="Q920" i="48" s="1"/>
  <c r="L497" i="48"/>
  <c r="P497" i="48"/>
  <c r="R421" i="48"/>
  <c r="M421" i="48"/>
  <c r="M422" i="48" s="1"/>
  <c r="T498" i="48"/>
  <c r="S498" i="48"/>
  <c r="J498" i="48"/>
  <c r="J620" i="48" s="1"/>
  <c r="J679" i="48"/>
  <c r="I649" i="48"/>
  <c r="N799" i="48"/>
  <c r="K709" i="48"/>
  <c r="M769" i="48"/>
  <c r="L739" i="48"/>
  <c r="O829" i="48"/>
  <c r="P859" i="48"/>
  <c r="G404" i="48"/>
  <c r="Q86" i="45"/>
  <c r="U23" i="47"/>
  <c r="Y181" i="45"/>
  <c r="I496" i="48"/>
  <c r="I493" i="48" s="1"/>
  <c r="N63" i="45" s="1"/>
  <c r="H456" i="48"/>
  <c r="D456" i="48" s="1"/>
  <c r="K37" i="79"/>
  <c r="N127" i="50"/>
  <c r="H395" i="48"/>
  <c r="H22" i="50"/>
  <c r="E32" i="79"/>
  <c r="H125" i="50"/>
  <c r="N6" i="45"/>
  <c r="F55" i="81" s="1"/>
  <c r="N5" i="46"/>
  <c r="V929" i="48"/>
  <c r="W929" i="48"/>
  <c r="Q929" i="48"/>
  <c r="P929" i="48"/>
  <c r="U929" i="48"/>
  <c r="X929" i="48"/>
  <c r="T929" i="48"/>
  <c r="S929" i="48"/>
  <c r="R929" i="48"/>
  <c r="P924" i="48"/>
  <c r="P910" i="48"/>
  <c r="R915" i="48"/>
  <c r="S920" i="48"/>
  <c r="S915" i="48"/>
  <c r="S919" i="48"/>
  <c r="T919" i="48"/>
  <c r="T910" i="48"/>
  <c r="R914" i="48"/>
  <c r="S906" i="48"/>
  <c r="S924" i="48"/>
  <c r="T914" i="48"/>
  <c r="R910" i="48"/>
  <c r="R924" i="48"/>
  <c r="R919" i="48"/>
  <c r="S914" i="48"/>
  <c r="T906" i="48"/>
  <c r="Q914" i="48"/>
  <c r="R906" i="48"/>
  <c r="S910" i="48"/>
  <c r="T924" i="48"/>
  <c r="P921" i="48"/>
  <c r="R925" i="48"/>
  <c r="R927" i="48"/>
  <c r="S907" i="48"/>
  <c r="S925" i="48"/>
  <c r="S927" i="48"/>
  <c r="P916" i="48"/>
  <c r="P582" i="48" s="1"/>
  <c r="P927" i="48"/>
  <c r="P593" i="48" s="1"/>
  <c r="P928" i="48"/>
  <c r="P594" i="48" s="1"/>
  <c r="Q927" i="48"/>
  <c r="R911" i="48"/>
  <c r="S911" i="48"/>
  <c r="T907" i="48"/>
  <c r="T916" i="48"/>
  <c r="T925" i="48"/>
  <c r="T927" i="48"/>
  <c r="P911" i="48"/>
  <c r="Q907" i="48"/>
  <c r="Q911" i="48"/>
  <c r="Q916" i="48"/>
  <c r="Q921" i="48"/>
  <c r="Q925" i="48"/>
  <c r="Q928" i="48"/>
  <c r="R916" i="48"/>
  <c r="R928" i="48"/>
  <c r="S916" i="48"/>
  <c r="S928" i="48"/>
  <c r="P907" i="48"/>
  <c r="P925" i="48"/>
  <c r="P591" i="48" s="1"/>
  <c r="R921" i="48"/>
  <c r="T911" i="48"/>
  <c r="T928" i="48"/>
  <c r="T920" i="48"/>
  <c r="V916" i="48"/>
  <c r="U907" i="48"/>
  <c r="U925" i="48"/>
  <c r="V915" i="48"/>
  <c r="T915" i="48"/>
  <c r="U906" i="48"/>
  <c r="U924" i="48"/>
  <c r="U919" i="48"/>
  <c r="V914" i="48"/>
  <c r="V911" i="48"/>
  <c r="V925" i="48"/>
  <c r="U927" i="48"/>
  <c r="U928" i="48"/>
  <c r="U920" i="48"/>
  <c r="U910" i="48"/>
  <c r="U915" i="48"/>
  <c r="V919" i="48"/>
  <c r="V906" i="48"/>
  <c r="V924" i="48"/>
  <c r="V927" i="48"/>
  <c r="V928" i="48"/>
  <c r="U911" i="48"/>
  <c r="V910" i="48"/>
  <c r="V907" i="48"/>
  <c r="W906" i="48"/>
  <c r="W914" i="48"/>
  <c r="W911" i="48"/>
  <c r="W921" i="48"/>
  <c r="W920" i="48"/>
  <c r="AA907" i="48"/>
  <c r="AA911" i="48"/>
  <c r="Z907" i="48"/>
  <c r="Z925" i="48"/>
  <c r="Y921" i="48"/>
  <c r="X916" i="48"/>
  <c r="U914" i="48"/>
  <c r="W919" i="48"/>
  <c r="W924" i="48"/>
  <c r="W927" i="48"/>
  <c r="W928" i="48"/>
  <c r="AA916" i="48"/>
  <c r="Z911" i="48"/>
  <c r="Y907" i="48"/>
  <c r="Y925" i="48"/>
  <c r="X921" i="48"/>
  <c r="W910" i="48"/>
  <c r="W907" i="48"/>
  <c r="W916" i="48"/>
  <c r="W925" i="48"/>
  <c r="W915" i="48"/>
  <c r="P930" i="48"/>
  <c r="Q930" i="48"/>
  <c r="AA921" i="48"/>
  <c r="Z916" i="48"/>
  <c r="Y911" i="48"/>
  <c r="X907" i="48"/>
  <c r="X925" i="48"/>
  <c r="U916" i="48"/>
  <c r="AA925" i="48"/>
  <c r="Z921" i="48"/>
  <c r="Y916" i="48"/>
  <c r="X911" i="48"/>
  <c r="U930" i="48"/>
  <c r="Z928" i="48"/>
  <c r="AA927" i="48"/>
  <c r="T930" i="48"/>
  <c r="V930" i="48"/>
  <c r="Z906" i="48"/>
  <c r="X910" i="48"/>
  <c r="Z915" i="48"/>
  <c r="X924" i="48"/>
  <c r="Z910" i="48"/>
  <c r="AA910" i="48"/>
  <c r="Y924" i="48"/>
  <c r="Y914" i="48"/>
  <c r="Y910" i="48"/>
  <c r="X928" i="48"/>
  <c r="Y927" i="48"/>
  <c r="X906" i="48"/>
  <c r="AA924" i="48"/>
  <c r="Y906" i="48"/>
  <c r="Z927" i="48"/>
  <c r="AA928" i="48"/>
  <c r="R930" i="48"/>
  <c r="X915" i="48"/>
  <c r="Z924" i="48"/>
  <c r="S930" i="48"/>
  <c r="X914" i="48"/>
  <c r="Y928" i="48"/>
  <c r="X927" i="48"/>
  <c r="Y915" i="48"/>
  <c r="Z914" i="48"/>
  <c r="AA906" i="48"/>
  <c r="AA914" i="48"/>
  <c r="X920" i="48"/>
  <c r="AA920" i="48"/>
  <c r="AA915" i="48"/>
  <c r="AA919" i="48"/>
  <c r="Y919" i="48"/>
  <c r="W930" i="48"/>
  <c r="Z919" i="48"/>
  <c r="X930" i="48"/>
  <c r="Z920" i="48"/>
  <c r="X919" i="48"/>
  <c r="Y920" i="48"/>
  <c r="M498" i="48"/>
  <c r="M620" i="48" s="1"/>
  <c r="V920" i="48" s="1"/>
  <c r="G471" i="48"/>
  <c r="G477" i="48"/>
  <c r="J494" i="48"/>
  <c r="J493" i="48" s="1"/>
  <c r="O63" i="45" s="1"/>
  <c r="J488" i="48"/>
  <c r="J487" i="48" s="1"/>
  <c r="O26" i="45" s="1"/>
  <c r="J33" i="48"/>
  <c r="O32" i="45"/>
  <c r="O69" i="45"/>
  <c r="I109" i="50"/>
  <c r="L353" i="48"/>
  <c r="I404" i="48"/>
  <c r="J537" i="48"/>
  <c r="K537" i="48" s="1"/>
  <c r="I427" i="48"/>
  <c r="I398" i="48"/>
  <c r="N84" i="45"/>
  <c r="N45" i="45"/>
  <c r="J675" i="48"/>
  <c r="I645" i="48"/>
  <c r="M765" i="48"/>
  <c r="L735" i="48"/>
  <c r="N795" i="48"/>
  <c r="K705" i="48"/>
  <c r="O825" i="48"/>
  <c r="P855" i="48"/>
  <c r="T441" i="48"/>
  <c r="T372" i="48"/>
  <c r="T420" i="48" s="1"/>
  <c r="T422" i="48" s="1"/>
  <c r="M385" i="48"/>
  <c r="M381" i="48" s="1"/>
  <c r="H536" i="48"/>
  <c r="H535" i="48" s="1"/>
  <c r="S90" i="48"/>
  <c r="S403" i="48" s="1"/>
  <c r="S495" i="48"/>
  <c r="S489" i="48"/>
  <c r="G114" i="50"/>
  <c r="F117" i="50"/>
  <c r="AB138" i="45"/>
  <c r="AB149" i="45" s="1"/>
  <c r="AC124" i="45"/>
  <c r="P422" i="48"/>
  <c r="G162" i="56" s="1"/>
  <c r="H162" i="56" s="1"/>
  <c r="R649" i="48"/>
  <c r="S679" i="48"/>
  <c r="U739" i="48"/>
  <c r="V769" i="48"/>
  <c r="T709" i="48"/>
  <c r="W799" i="48"/>
  <c r="X829" i="48"/>
  <c r="Y859" i="48"/>
  <c r="K498" i="48"/>
  <c r="K620" i="48" s="1"/>
  <c r="K24" i="48"/>
  <c r="K21" i="48"/>
  <c r="K22" i="48"/>
  <c r="K452" i="48" s="1"/>
  <c r="K451" i="48" s="1"/>
  <c r="K23" i="48"/>
  <c r="K28" i="48"/>
  <c r="K27" i="48"/>
  <c r="K25" i="48"/>
  <c r="K509" i="48" s="1"/>
  <c r="K508" i="48" s="1"/>
  <c r="M353" i="48"/>
  <c r="O59" i="48"/>
  <c r="O58" i="48" s="1"/>
  <c r="O57" i="48"/>
  <c r="O56" i="48"/>
  <c r="O60" i="48"/>
  <c r="O53" i="48"/>
  <c r="O54" i="48"/>
  <c r="O55" i="48"/>
  <c r="L403" i="48"/>
  <c r="L404" i="48" s="1"/>
  <c r="I403" i="48"/>
  <c r="I428" i="48" s="1"/>
  <c r="J403" i="48"/>
  <c r="N404" i="48"/>
  <c r="I538" i="48"/>
  <c r="D442" i="48"/>
  <c r="Y889" i="48"/>
  <c r="T889" i="48"/>
  <c r="Q884" i="48"/>
  <c r="S899" i="48"/>
  <c r="T899" i="48"/>
  <c r="T75" i="48"/>
  <c r="S170" i="48"/>
  <c r="R179" i="48"/>
  <c r="F59" i="81"/>
  <c r="F15" i="81"/>
  <c r="F19" i="81"/>
  <c r="AA497" i="48"/>
  <c r="R497" i="48"/>
  <c r="P679" i="48"/>
  <c r="O649" i="48"/>
  <c r="T799" i="48"/>
  <c r="S769" i="48"/>
  <c r="R739" i="48"/>
  <c r="Q709" i="48"/>
  <c r="U829" i="48"/>
  <c r="V859" i="48"/>
  <c r="U498" i="48"/>
  <c r="R495" i="48"/>
  <c r="O404" i="48"/>
  <c r="K495" i="48"/>
  <c r="L410" i="48"/>
  <c r="O415" i="48"/>
  <c r="O416" i="48" s="1"/>
  <c r="R415" i="48"/>
  <c r="R416" i="48" s="1"/>
  <c r="K415" i="48"/>
  <c r="K416" i="48" s="1"/>
  <c r="I34" i="80"/>
  <c r="O629" i="48"/>
  <c r="H492" i="48"/>
  <c r="H619" i="48" s="1"/>
  <c r="Q919" i="48" s="1"/>
  <c r="I607" i="48"/>
  <c r="R907" i="48" s="1"/>
  <c r="D447" i="48"/>
  <c r="W497" i="48"/>
  <c r="N497" i="48"/>
  <c r="D497" i="48" s="1"/>
  <c r="H497" i="48"/>
  <c r="H493" i="48" s="1"/>
  <c r="M63" i="45" s="1"/>
  <c r="I421" i="48"/>
  <c r="I422" i="48" s="1"/>
  <c r="J144" i="56"/>
  <c r="N144" i="56" s="1"/>
  <c r="J421" i="48"/>
  <c r="S421" i="48"/>
  <c r="T421" i="48"/>
  <c r="J420" i="48"/>
  <c r="J143" i="56"/>
  <c r="I498" i="48"/>
  <c r="I620" i="48" s="1"/>
  <c r="R920" i="48" s="1"/>
  <c r="H404" i="48"/>
  <c r="G495" i="48"/>
  <c r="H410" i="48"/>
  <c r="T38" i="47"/>
  <c r="X46" i="45"/>
  <c r="N75" i="45"/>
  <c r="N38" i="45"/>
  <c r="H427" i="48"/>
  <c r="N93" i="50" l="1"/>
  <c r="O93" i="50" s="1"/>
  <c r="M96" i="50"/>
  <c r="P34" i="50"/>
  <c r="N101" i="45"/>
  <c r="P33" i="50"/>
  <c r="J145" i="56"/>
  <c r="N145" i="56" s="1"/>
  <c r="N143" i="56"/>
  <c r="P75" i="45"/>
  <c r="P38" i="45"/>
  <c r="O107" i="45"/>
  <c r="R238" i="48"/>
  <c r="Q239" i="48"/>
  <c r="E61" i="80"/>
  <c r="E71" i="80"/>
  <c r="S404" i="48"/>
  <c r="G620" i="48"/>
  <c r="D498" i="48"/>
  <c r="H684" i="48"/>
  <c r="G654" i="48"/>
  <c r="G590" i="48" s="1"/>
  <c r="L804" i="48"/>
  <c r="J744" i="48"/>
  <c r="I714" i="48"/>
  <c r="K774" i="48"/>
  <c r="M834" i="48"/>
  <c r="N864" i="48"/>
  <c r="O894" i="48"/>
  <c r="U441" i="48"/>
  <c r="U372" i="48"/>
  <c r="U420" i="48" s="1"/>
  <c r="R86" i="45"/>
  <c r="P630" i="48"/>
  <c r="V361" i="48"/>
  <c r="V365" i="48"/>
  <c r="V367" i="48" s="1"/>
  <c r="U363" i="48"/>
  <c r="P577" i="48"/>
  <c r="K75" i="81"/>
  <c r="J71" i="81"/>
  <c r="J508" i="48"/>
  <c r="W390" i="48"/>
  <c r="W542" i="48" s="1"/>
  <c r="O172" i="45"/>
  <c r="O38" i="81"/>
  <c r="N36" i="81"/>
  <c r="N32" i="81" s="1"/>
  <c r="S422" i="48"/>
  <c r="O650" i="48"/>
  <c r="P680" i="48"/>
  <c r="Q710" i="48"/>
  <c r="R740" i="48"/>
  <c r="T800" i="48"/>
  <c r="S770" i="48"/>
  <c r="U830" i="48"/>
  <c r="V860" i="48"/>
  <c r="W890" i="48"/>
  <c r="Q439" i="48"/>
  <c r="Q180" i="48"/>
  <c r="Q408" i="48" s="1"/>
  <c r="Q410" i="48" s="1"/>
  <c r="N107" i="45"/>
  <c r="M19" i="48"/>
  <c r="N10" i="48"/>
  <c r="M14" i="48"/>
  <c r="M11" i="48"/>
  <c r="P650" i="48"/>
  <c r="Q680" i="48"/>
  <c r="U800" i="48"/>
  <c r="S740" i="48"/>
  <c r="R710" i="48"/>
  <c r="T770" i="48"/>
  <c r="V830" i="48"/>
  <c r="W860" i="48"/>
  <c r="X890" i="48"/>
  <c r="N108" i="50"/>
  <c r="O689" i="48"/>
  <c r="N659" i="48"/>
  <c r="Q749" i="48"/>
  <c r="S809" i="48"/>
  <c r="P719" i="48"/>
  <c r="R779" i="48"/>
  <c r="T839" i="48"/>
  <c r="U869" i="48"/>
  <c r="V899" i="48"/>
  <c r="I499" i="48"/>
  <c r="J111" i="50"/>
  <c r="I674" i="48"/>
  <c r="H644" i="48"/>
  <c r="L764" i="48"/>
  <c r="M794" i="48"/>
  <c r="J704" i="48"/>
  <c r="K734" i="48"/>
  <c r="N824" i="48"/>
  <c r="O854" i="48"/>
  <c r="P884" i="48"/>
  <c r="H649" i="48"/>
  <c r="I679" i="48"/>
  <c r="M799" i="48"/>
  <c r="K739" i="48"/>
  <c r="J709" i="48"/>
  <c r="L769" i="48"/>
  <c r="N829" i="48"/>
  <c r="O859" i="48"/>
  <c r="P889" i="48"/>
  <c r="P32" i="45"/>
  <c r="P69" i="45"/>
  <c r="O101" i="45"/>
  <c r="X83" i="45"/>
  <c r="J422" i="48"/>
  <c r="O659" i="48"/>
  <c r="P689" i="48"/>
  <c r="S779" i="48"/>
  <c r="R749" i="48"/>
  <c r="Q719" i="48"/>
  <c r="T809" i="48"/>
  <c r="U839" i="48"/>
  <c r="V869" i="48"/>
  <c r="W899" i="48"/>
  <c r="K26" i="48"/>
  <c r="K397" i="48" s="1"/>
  <c r="K428" i="48" s="1"/>
  <c r="K437" i="48"/>
  <c r="K20" i="48"/>
  <c r="K396" i="48" s="1"/>
  <c r="L440" i="48"/>
  <c r="H114" i="50"/>
  <c r="G117" i="50"/>
  <c r="I429" i="48"/>
  <c r="L504" i="48"/>
  <c r="L349" i="48"/>
  <c r="L423" i="48" s="1"/>
  <c r="L430" i="48" s="1"/>
  <c r="G615" i="48"/>
  <c r="G472" i="48"/>
  <c r="K680" i="48"/>
  <c r="J650" i="48"/>
  <c r="M740" i="48"/>
  <c r="O800" i="48"/>
  <c r="L710" i="48"/>
  <c r="N770" i="48"/>
  <c r="P830" i="48"/>
  <c r="Q860" i="48"/>
  <c r="R890" i="48"/>
  <c r="K504" i="48"/>
  <c r="K317" i="48"/>
  <c r="K423" i="48" s="1"/>
  <c r="K430" i="48" s="1"/>
  <c r="X344" i="48"/>
  <c r="X348" i="48"/>
  <c r="X343" i="48"/>
  <c r="X345" i="48"/>
  <c r="X342" i="48"/>
  <c r="X341" i="48"/>
  <c r="X340" i="48" s="1"/>
  <c r="X347" i="48"/>
  <c r="N110" i="45"/>
  <c r="G115" i="50"/>
  <c r="F118" i="50"/>
  <c r="F119" i="50" s="1"/>
  <c r="E31" i="79"/>
  <c r="H14" i="50"/>
  <c r="H124" i="50"/>
  <c r="G619" i="48"/>
  <c r="D492" i="48"/>
  <c r="V73" i="48"/>
  <c r="U77" i="48"/>
  <c r="U79" i="48" s="1"/>
  <c r="J101" i="50"/>
  <c r="J100" i="50"/>
  <c r="J95" i="50"/>
  <c r="J97" i="50" s="1"/>
  <c r="K99" i="50"/>
  <c r="N41" i="47"/>
  <c r="S49" i="45" s="1"/>
  <c r="O40" i="47"/>
  <c r="Q294" i="48"/>
  <c r="Q542" i="48" s="1"/>
  <c r="Q630" i="48" s="1"/>
  <c r="R270" i="48"/>
  <c r="Q271" i="48"/>
  <c r="T489" i="48"/>
  <c r="T495" i="48"/>
  <c r="W371" i="48"/>
  <c r="X362" i="48"/>
  <c r="X366" i="48"/>
  <c r="P12" i="45"/>
  <c r="P50" i="45" s="1"/>
  <c r="P10" i="46"/>
  <c r="X959" i="48"/>
  <c r="W959" i="48"/>
  <c r="V959" i="48"/>
  <c r="T959" i="48"/>
  <c r="S959" i="48"/>
  <c r="R959" i="48"/>
  <c r="U959" i="48"/>
  <c r="Y959" i="48"/>
  <c r="Q959" i="48"/>
  <c r="Q954" i="48"/>
  <c r="Q944" i="48"/>
  <c r="Q580" i="48" s="1"/>
  <c r="V36" i="45" s="1"/>
  <c r="Q940" i="48"/>
  <c r="Q950" i="48"/>
  <c r="Q949" i="48"/>
  <c r="Q585" i="48" s="1"/>
  <c r="V27" i="45" s="1"/>
  <c r="S940" i="48"/>
  <c r="T954" i="48"/>
  <c r="R945" i="48"/>
  <c r="S950" i="48"/>
  <c r="S945" i="48"/>
  <c r="S949" i="48"/>
  <c r="T949" i="48"/>
  <c r="T940" i="48"/>
  <c r="R950" i="48"/>
  <c r="R944" i="48"/>
  <c r="S936" i="48"/>
  <c r="S954" i="48"/>
  <c r="T944" i="48"/>
  <c r="Q945" i="48"/>
  <c r="R949" i="48"/>
  <c r="S944" i="48"/>
  <c r="T936" i="48"/>
  <c r="R951" i="48"/>
  <c r="S951" i="48"/>
  <c r="T941" i="48"/>
  <c r="T958" i="48"/>
  <c r="R937" i="48"/>
  <c r="R955" i="48"/>
  <c r="R957" i="48"/>
  <c r="S937" i="48"/>
  <c r="S955" i="48"/>
  <c r="S957" i="48"/>
  <c r="Q957" i="48"/>
  <c r="Q593" i="48" s="1"/>
  <c r="Q33" i="50" s="1"/>
  <c r="R941" i="48"/>
  <c r="S941" i="48"/>
  <c r="T937" i="48"/>
  <c r="T946" i="48"/>
  <c r="T955" i="48"/>
  <c r="T957" i="48"/>
  <c r="Q937" i="48"/>
  <c r="Q941" i="48"/>
  <c r="Q946" i="48"/>
  <c r="Q582" i="48" s="1"/>
  <c r="Q951" i="48"/>
  <c r="Q955" i="48"/>
  <c r="Q591" i="48" s="1"/>
  <c r="Q958" i="48"/>
  <c r="Q594" i="48" s="1"/>
  <c r="Q34" i="50" s="1"/>
  <c r="R946" i="48"/>
  <c r="R958" i="48"/>
  <c r="S946" i="48"/>
  <c r="S958" i="48"/>
  <c r="U950" i="48"/>
  <c r="U940" i="48"/>
  <c r="U945" i="48"/>
  <c r="V949" i="48"/>
  <c r="V936" i="48"/>
  <c r="V954" i="48"/>
  <c r="U941" i="48"/>
  <c r="T950" i="48"/>
  <c r="V946" i="48"/>
  <c r="U937" i="48"/>
  <c r="U955" i="48"/>
  <c r="V945" i="48"/>
  <c r="U944" i="48"/>
  <c r="V940" i="48"/>
  <c r="V937" i="48"/>
  <c r="V958" i="48"/>
  <c r="U946" i="48"/>
  <c r="U954" i="48"/>
  <c r="U949" i="48"/>
  <c r="V957" i="48"/>
  <c r="AA955" i="48"/>
  <c r="Z951" i="48"/>
  <c r="Y946" i="48"/>
  <c r="X941" i="48"/>
  <c r="U936" i="48"/>
  <c r="V944" i="48"/>
  <c r="W936" i="48"/>
  <c r="W944" i="48"/>
  <c r="W941" i="48"/>
  <c r="W950" i="48"/>
  <c r="AA937" i="48"/>
  <c r="AA941" i="48"/>
  <c r="Z937" i="48"/>
  <c r="Z955" i="48"/>
  <c r="Y951" i="48"/>
  <c r="X946" i="48"/>
  <c r="V941" i="48"/>
  <c r="V955" i="48"/>
  <c r="U957" i="48"/>
  <c r="W949" i="48"/>
  <c r="W954" i="48"/>
  <c r="W957" i="48"/>
  <c r="W958" i="48"/>
  <c r="AA946" i="48"/>
  <c r="Z941" i="48"/>
  <c r="Y937" i="48"/>
  <c r="Y955" i="48"/>
  <c r="X951" i="48"/>
  <c r="T945" i="48"/>
  <c r="U958" i="48"/>
  <c r="V950" i="48"/>
  <c r="W940" i="48"/>
  <c r="W937" i="48"/>
  <c r="W946" i="48"/>
  <c r="W955" i="48"/>
  <c r="W945" i="48"/>
  <c r="Q960" i="48"/>
  <c r="AA951" i="48"/>
  <c r="Z946" i="48"/>
  <c r="Y941" i="48"/>
  <c r="X937" i="48"/>
  <c r="X955" i="48"/>
  <c r="X954" i="48"/>
  <c r="AA944" i="48"/>
  <c r="X957" i="48"/>
  <c r="X958" i="48"/>
  <c r="R960" i="48"/>
  <c r="Y936" i="48"/>
  <c r="Z957" i="48"/>
  <c r="S960" i="48"/>
  <c r="Z944" i="48"/>
  <c r="V960" i="48"/>
  <c r="AB936" i="48"/>
  <c r="AB944" i="48"/>
  <c r="Y940" i="48"/>
  <c r="AA945" i="48"/>
  <c r="AA940" i="48"/>
  <c r="AA958" i="48"/>
  <c r="AB941" i="48"/>
  <c r="Z945" i="48"/>
  <c r="Y958" i="48"/>
  <c r="AB958" i="48"/>
  <c r="Z940" i="48"/>
  <c r="Z954" i="48"/>
  <c r="AB954" i="48"/>
  <c r="AB951" i="48"/>
  <c r="AB955" i="48"/>
  <c r="U960" i="48"/>
  <c r="AB946" i="48"/>
  <c r="AB957" i="48"/>
  <c r="X945" i="48"/>
  <c r="Y944" i="48"/>
  <c r="T960" i="48"/>
  <c r="AB945" i="48"/>
  <c r="AA936" i="48"/>
  <c r="W960" i="48"/>
  <c r="Y954" i="48"/>
  <c r="AA954" i="48"/>
  <c r="X940" i="48"/>
  <c r="AB937" i="48"/>
  <c r="X944" i="48"/>
  <c r="AA957" i="48"/>
  <c r="Y957" i="48"/>
  <c r="Y945" i="48"/>
  <c r="Z958" i="48"/>
  <c r="Z936" i="48"/>
  <c r="X936" i="48"/>
  <c r="AB949" i="48"/>
  <c r="AA949" i="48"/>
  <c r="Y960" i="48"/>
  <c r="Y949" i="48"/>
  <c r="Z950" i="48"/>
  <c r="AA960" i="48"/>
  <c r="Z960" i="48"/>
  <c r="Y950" i="48"/>
  <c r="AB940" i="48"/>
  <c r="Z949" i="48"/>
  <c r="X949" i="48"/>
  <c r="X960" i="48"/>
  <c r="AB950" i="48"/>
  <c r="X950" i="48"/>
  <c r="AA950" i="48"/>
  <c r="J501" i="48"/>
  <c r="D501" i="48" s="1"/>
  <c r="J125" i="48"/>
  <c r="J405" i="48" s="1"/>
  <c r="Q496" i="48"/>
  <c r="Q490" i="48"/>
  <c r="U88" i="48"/>
  <c r="U87" i="48"/>
  <c r="U92" i="48"/>
  <c r="U91" i="48"/>
  <c r="U90" i="48" s="1"/>
  <c r="U403" i="48" s="1"/>
  <c r="U86" i="48"/>
  <c r="U453" i="48" s="1"/>
  <c r="D453" i="48" s="1"/>
  <c r="U85" i="48"/>
  <c r="U89" i="48"/>
  <c r="U510" i="48" s="1"/>
  <c r="D510" i="48" s="1"/>
  <c r="O90" i="45"/>
  <c r="O51" i="45"/>
  <c r="R42" i="48"/>
  <c r="Q51" i="48"/>
  <c r="Q43" i="48"/>
  <c r="R46" i="48"/>
  <c r="R47" i="48" s="1"/>
  <c r="O17" i="45"/>
  <c r="O16" i="46"/>
  <c r="L15" i="48"/>
  <c r="H615" i="48"/>
  <c r="H472" i="48"/>
  <c r="M72" i="45" s="1"/>
  <c r="N206" i="45"/>
  <c r="J398" i="48"/>
  <c r="F158" i="56"/>
  <c r="F163" i="56" s="1"/>
  <c r="J427" i="48"/>
  <c r="N44" i="45"/>
  <c r="N82" i="45"/>
  <c r="N113" i="45"/>
  <c r="U38" i="47"/>
  <c r="Y46" i="45"/>
  <c r="R184" i="48"/>
  <c r="R182" i="48"/>
  <c r="R454" i="48" s="1"/>
  <c r="R187" i="48"/>
  <c r="R185" i="48"/>
  <c r="R511" i="48" s="1"/>
  <c r="R188" i="48"/>
  <c r="R181" i="48"/>
  <c r="R183" i="48"/>
  <c r="O52" i="48"/>
  <c r="K494" i="48"/>
  <c r="K493" i="48" s="1"/>
  <c r="P63" i="45" s="1"/>
  <c r="K488" i="48"/>
  <c r="K487" i="48" s="1"/>
  <c r="P26" i="45" s="1"/>
  <c r="AD124" i="45"/>
  <c r="AC138" i="45"/>
  <c r="AC149" i="45" s="1"/>
  <c r="H487" i="48"/>
  <c r="M26" i="45" s="1"/>
  <c r="J109" i="50"/>
  <c r="J500" i="48"/>
  <c r="J29" i="48"/>
  <c r="J399" i="48" s="1"/>
  <c r="G614" i="48"/>
  <c r="G466" i="48"/>
  <c r="F14" i="81"/>
  <c r="I10" i="50"/>
  <c r="F16" i="81" s="1"/>
  <c r="I11" i="50"/>
  <c r="I9" i="50"/>
  <c r="G20" i="81" s="1"/>
  <c r="F6" i="79"/>
  <c r="I12" i="50"/>
  <c r="F17" i="81"/>
  <c r="E33" i="79"/>
  <c r="H610" i="48"/>
  <c r="R940" i="48" s="1"/>
  <c r="H451" i="48"/>
  <c r="V23" i="47"/>
  <c r="Z181" i="45"/>
  <c r="I680" i="48"/>
  <c r="H650" i="48"/>
  <c r="K740" i="48"/>
  <c r="J710" i="48"/>
  <c r="M800" i="48"/>
  <c r="L770" i="48"/>
  <c r="N830" i="48"/>
  <c r="O860" i="48"/>
  <c r="P890" i="48"/>
  <c r="N650" i="48"/>
  <c r="O680" i="48"/>
  <c r="S800" i="48"/>
  <c r="Q740" i="48"/>
  <c r="P710" i="48"/>
  <c r="R770" i="48"/>
  <c r="T830" i="48"/>
  <c r="U860" i="48"/>
  <c r="V890" i="48"/>
  <c r="F54" i="81"/>
  <c r="H23" i="50"/>
  <c r="P175" i="48"/>
  <c r="Q174" i="48"/>
  <c r="H606" i="48"/>
  <c r="H436" i="48"/>
  <c r="L38" i="45"/>
  <c r="L75" i="45"/>
  <c r="G398" i="48"/>
  <c r="G429" i="48" s="1"/>
  <c r="U477" i="48"/>
  <c r="D477" i="48" s="1"/>
  <c r="U471" i="48"/>
  <c r="D471" i="48" s="1"/>
  <c r="U378" i="48"/>
  <c r="U421" i="48" s="1"/>
  <c r="P629" i="48"/>
  <c r="Z959" i="48" s="1"/>
  <c r="F56" i="81"/>
  <c r="J110" i="50"/>
  <c r="T468" i="48"/>
  <c r="T474" i="48"/>
  <c r="T119" i="45"/>
  <c r="Y76" i="50"/>
  <c r="Y32" i="80"/>
  <c r="Z7" i="47"/>
  <c r="AA7" i="47" s="1"/>
  <c r="AB7" i="47" s="1"/>
  <c r="AC7" i="47" s="1"/>
  <c r="AD7" i="47" s="1"/>
  <c r="H428" i="48"/>
  <c r="H398" i="48"/>
  <c r="H429" i="48" s="1"/>
  <c r="M5" i="81"/>
  <c r="Q51" i="50"/>
  <c r="M45" i="79"/>
  <c r="N138" i="45"/>
  <c r="N149" i="45" s="1"/>
  <c r="N91" i="45"/>
  <c r="J466" i="48"/>
  <c r="O35" i="45" s="1"/>
  <c r="O110" i="45" s="1"/>
  <c r="Q169" i="48"/>
  <c r="P171" i="48"/>
  <c r="V376" i="48"/>
  <c r="V375" i="48"/>
  <c r="V377" i="48"/>
  <c r="V513" i="48" s="1"/>
  <c r="V379" i="48"/>
  <c r="V378" i="48" s="1"/>
  <c r="V380" i="48"/>
  <c r="V374" i="48"/>
  <c r="V456" i="48" s="1"/>
  <c r="V373" i="48"/>
  <c r="O47" i="45"/>
  <c r="O204" i="45"/>
  <c r="H160" i="56"/>
  <c r="V206" i="48"/>
  <c r="U207" i="48"/>
  <c r="O110" i="48"/>
  <c r="N111" i="48"/>
  <c r="W74" i="48"/>
  <c r="V83" i="48"/>
  <c r="V75" i="48"/>
  <c r="W78" i="48"/>
  <c r="P15" i="46"/>
  <c r="O13" i="45"/>
  <c r="O219" i="45" s="1"/>
  <c r="W171" i="56"/>
  <c r="Z207" i="45" s="1"/>
  <c r="Z211" i="45" s="1"/>
  <c r="I165" i="56"/>
  <c r="P54" i="48"/>
  <c r="P57" i="48"/>
  <c r="P56" i="48"/>
  <c r="P60" i="48"/>
  <c r="P55" i="48"/>
  <c r="P53" i="48"/>
  <c r="P52" i="48" s="1"/>
  <c r="P59" i="48"/>
  <c r="S181" i="56"/>
  <c r="W180" i="56"/>
  <c r="X180" i="56" s="1"/>
  <c r="T180" i="56"/>
  <c r="F47" i="80"/>
  <c r="L69" i="45"/>
  <c r="L32" i="45"/>
  <c r="G43" i="80"/>
  <c r="G45" i="80"/>
  <c r="O66" i="45"/>
  <c r="O29" i="45"/>
  <c r="E610" i="48"/>
  <c r="H670" i="48"/>
  <c r="G640" i="48"/>
  <c r="G576" i="48" s="1"/>
  <c r="I700" i="48"/>
  <c r="K760" i="48"/>
  <c r="J730" i="48"/>
  <c r="L790" i="48"/>
  <c r="M820" i="48"/>
  <c r="N850" i="48"/>
  <c r="O880" i="48"/>
  <c r="G40" i="80"/>
  <c r="G487" i="48"/>
  <c r="G493" i="48"/>
  <c r="J680" i="48"/>
  <c r="I650" i="48"/>
  <c r="L740" i="48"/>
  <c r="K710" i="48"/>
  <c r="N800" i="48"/>
  <c r="M770" i="48"/>
  <c r="O830" i="48"/>
  <c r="P860" i="48"/>
  <c r="Q890" i="48"/>
  <c r="I36" i="80"/>
  <c r="I573" i="48"/>
  <c r="E607" i="48"/>
  <c r="I637" i="48"/>
  <c r="J667" i="48"/>
  <c r="J573" i="48" s="1"/>
  <c r="L727" i="48"/>
  <c r="L573" i="48" s="1"/>
  <c r="K697" i="48"/>
  <c r="K573" i="48" s="1"/>
  <c r="M757" i="48"/>
  <c r="M573" i="48" s="1"/>
  <c r="N787" i="48"/>
  <c r="N573" i="48" s="1"/>
  <c r="O817" i="48"/>
  <c r="O573" i="48" s="1"/>
  <c r="P847" i="48"/>
  <c r="P573" i="48" s="1"/>
  <c r="I631" i="48"/>
  <c r="Q877" i="48"/>
  <c r="Q573" i="48" s="1"/>
  <c r="S179" i="48"/>
  <c r="T170" i="48"/>
  <c r="M504" i="48"/>
  <c r="M349" i="48"/>
  <c r="M423" i="48" s="1"/>
  <c r="M430" i="48" s="1"/>
  <c r="K473" i="48"/>
  <c r="K467" i="48"/>
  <c r="K466" i="48" s="1"/>
  <c r="P35" i="45" s="1"/>
  <c r="L680" i="48"/>
  <c r="K650" i="48"/>
  <c r="N740" i="48"/>
  <c r="O770" i="48"/>
  <c r="P800" i="48"/>
  <c r="M710" i="48"/>
  <c r="Q830" i="48"/>
  <c r="R860" i="48"/>
  <c r="S890" i="48"/>
  <c r="M650" i="48"/>
  <c r="N680" i="48"/>
  <c r="O710" i="48"/>
  <c r="P740" i="48"/>
  <c r="Q770" i="48"/>
  <c r="R800" i="48"/>
  <c r="S830" i="48"/>
  <c r="T860" i="48"/>
  <c r="U890" i="48"/>
  <c r="L537" i="48"/>
  <c r="X329" i="48"/>
  <c r="W331" i="48"/>
  <c r="Z330" i="48"/>
  <c r="Y334" i="48"/>
  <c r="Y335" i="48" s="1"/>
  <c r="Y339" i="48"/>
  <c r="H56" i="50"/>
  <c r="Q650" i="48"/>
  <c r="R680" i="48"/>
  <c r="V800" i="48"/>
  <c r="T740" i="48"/>
  <c r="U770" i="48"/>
  <c r="S710" i="48"/>
  <c r="W830" i="48"/>
  <c r="X860" i="48"/>
  <c r="Y890" i="48"/>
  <c r="AA201" i="48"/>
  <c r="AA203" i="48" s="1"/>
  <c r="Z203" i="48"/>
  <c r="J428" i="48"/>
  <c r="G427" i="48"/>
  <c r="H426" i="48" s="1"/>
  <c r="O85" i="45"/>
  <c r="Q577" i="48"/>
  <c r="H624" i="48"/>
  <c r="E624" i="48" s="1"/>
  <c r="H508" i="48"/>
  <c r="T438" i="48"/>
  <c r="T84" i="48"/>
  <c r="T402" i="48" s="1"/>
  <c r="T404" i="48" s="1"/>
  <c r="T235" i="48"/>
  <c r="U233" i="48"/>
  <c r="I536" i="48"/>
  <c r="I535" i="48" s="1"/>
  <c r="L49" i="79"/>
  <c r="O130" i="50"/>
  <c r="J514" i="48"/>
  <c r="D514" i="48" s="1"/>
  <c r="D515" i="48"/>
  <c r="G606" i="48"/>
  <c r="Q936" i="48" s="1"/>
  <c r="D441" i="48"/>
  <c r="G436" i="48"/>
  <c r="D964" i="48"/>
  <c r="E964" i="48"/>
  <c r="C994" i="48"/>
  <c r="O6" i="46"/>
  <c r="O7" i="45"/>
  <c r="P9" i="46"/>
  <c r="J404" i="48"/>
  <c r="G159" i="56" s="1"/>
  <c r="H159" i="56" s="1"/>
  <c r="J621" i="48"/>
  <c r="T951" i="48" s="1"/>
  <c r="W26" i="47"/>
  <c r="AA184" i="45"/>
  <c r="AA122" i="45" s="1"/>
  <c r="F60" i="81"/>
  <c r="Q469" i="48"/>
  <c r="Q475" i="48"/>
  <c r="F57" i="80"/>
  <c r="F59" i="80"/>
  <c r="F71" i="80" s="1"/>
  <c r="F67" i="80"/>
  <c r="L540" i="48"/>
  <c r="K540" i="48"/>
  <c r="J538" i="48"/>
  <c r="L28" i="48"/>
  <c r="L27" i="48"/>
  <c r="L26" i="48" s="1"/>
  <c r="L397" i="48" s="1"/>
  <c r="L428" i="48" s="1"/>
  <c r="L21" i="48"/>
  <c r="L23" i="48"/>
  <c r="L25" i="48"/>
  <c r="L509" i="48" s="1"/>
  <c r="L508" i="48" s="1"/>
  <c r="L24" i="48"/>
  <c r="L22" i="48"/>
  <c r="L452" i="48" s="1"/>
  <c r="L451" i="48" s="1"/>
  <c r="R650" i="48"/>
  <c r="S680" i="48"/>
  <c r="U740" i="48"/>
  <c r="W800" i="48"/>
  <c r="V770" i="48"/>
  <c r="T710" i="48"/>
  <c r="X830" i="48"/>
  <c r="Y860" i="48"/>
  <c r="Z890" i="48"/>
  <c r="I13" i="81"/>
  <c r="H11" i="81"/>
  <c r="N689" i="48"/>
  <c r="M659" i="48"/>
  <c r="M595" i="48" s="1"/>
  <c r="O719" i="48"/>
  <c r="R809" i="48"/>
  <c r="Q779" i="48"/>
  <c r="P749" i="48"/>
  <c r="S839" i="48"/>
  <c r="T869" i="48"/>
  <c r="U899" i="48"/>
  <c r="N104" i="45"/>
  <c r="O35" i="50"/>
  <c r="O36" i="50" s="1"/>
  <c r="Q586" i="48" l="1"/>
  <c r="V64" i="45" s="1"/>
  <c r="V102" i="45" s="1"/>
  <c r="O595" i="48"/>
  <c r="N595" i="48"/>
  <c r="Q35" i="50"/>
  <c r="L33" i="45"/>
  <c r="L70" i="45" s="1"/>
  <c r="L108" i="45" s="1"/>
  <c r="Y329" i="48"/>
  <c r="X331" i="48"/>
  <c r="M621" i="48"/>
  <c r="M499" i="48"/>
  <c r="L26" i="45"/>
  <c r="W206" i="48"/>
  <c r="V207" i="48"/>
  <c r="O84" i="45"/>
  <c r="O45" i="45"/>
  <c r="L113" i="45"/>
  <c r="W23" i="47"/>
  <c r="AA181" i="45"/>
  <c r="AE124" i="45"/>
  <c r="AD138" i="45"/>
  <c r="AD149" i="45" s="1"/>
  <c r="P101" i="45"/>
  <c r="R439" i="48"/>
  <c r="R180" i="48"/>
  <c r="R408" i="48" s="1"/>
  <c r="I8" i="50"/>
  <c r="I13" i="50" s="1"/>
  <c r="N81" i="45"/>
  <c r="F14" i="79" s="1"/>
  <c r="F10" i="79"/>
  <c r="N210" i="45"/>
  <c r="O88" i="45"/>
  <c r="O137" i="45"/>
  <c r="O148" i="45" s="1"/>
  <c r="U438" i="48"/>
  <c r="D438" i="48" s="1"/>
  <c r="U84" i="48"/>
  <c r="U402" i="48" s="1"/>
  <c r="U404" i="48" s="1"/>
  <c r="U474" i="48"/>
  <c r="D474" i="48" s="1"/>
  <c r="U468" i="48"/>
  <c r="D468" i="48" s="1"/>
  <c r="W73" i="48"/>
  <c r="V77" i="48"/>
  <c r="V79" i="48" s="1"/>
  <c r="H115" i="50"/>
  <c r="G118" i="50"/>
  <c r="L72" i="45"/>
  <c r="I114" i="50"/>
  <c r="I133" i="50"/>
  <c r="I103" i="50" s="1"/>
  <c r="H117" i="50"/>
  <c r="N154" i="45" s="1"/>
  <c r="K398" i="48"/>
  <c r="K429" i="48" s="1"/>
  <c r="K427" i="48"/>
  <c r="M15" i="48"/>
  <c r="E620" i="48"/>
  <c r="H680" i="48"/>
  <c r="H586" i="48" s="1"/>
  <c r="M64" i="45" s="1"/>
  <c r="G650" i="48"/>
  <c r="G586" i="48" s="1"/>
  <c r="L800" i="48"/>
  <c r="I710" i="48"/>
  <c r="I586" i="48" s="1"/>
  <c r="N64" i="45" s="1"/>
  <c r="K770" i="48"/>
  <c r="K586" i="48" s="1"/>
  <c r="P64" i="45" s="1"/>
  <c r="J740" i="48"/>
  <c r="J586" i="48" s="1"/>
  <c r="O64" i="45" s="1"/>
  <c r="M830" i="48"/>
  <c r="M586" i="48" s="1"/>
  <c r="R64" i="45" s="1"/>
  <c r="N860" i="48"/>
  <c r="N586" i="48" s="1"/>
  <c r="S64" i="45" s="1"/>
  <c r="O890" i="48"/>
  <c r="O586" i="48" s="1"/>
  <c r="T64" i="45" s="1"/>
  <c r="P920" i="48"/>
  <c r="P586" i="48" s="1"/>
  <c r="U64" i="45" s="1"/>
  <c r="F58" i="80"/>
  <c r="E73" i="80"/>
  <c r="S238" i="48"/>
  <c r="R239" i="48"/>
  <c r="P9" i="45"/>
  <c r="P7" i="46"/>
  <c r="L31" i="45"/>
  <c r="L217" i="45" s="1"/>
  <c r="L488" i="48"/>
  <c r="L494" i="48"/>
  <c r="D504" i="48"/>
  <c r="Y989" i="48"/>
  <c r="Z989" i="48"/>
  <c r="X989" i="48"/>
  <c r="W989" i="48"/>
  <c r="V989" i="48"/>
  <c r="T989" i="48"/>
  <c r="S989" i="48"/>
  <c r="AA989" i="48"/>
  <c r="U989" i="48"/>
  <c r="R989" i="48"/>
  <c r="R970" i="48"/>
  <c r="R576" i="48" s="1"/>
  <c r="W33" i="45" s="1"/>
  <c r="W70" i="45" s="1"/>
  <c r="W108" i="45" s="1"/>
  <c r="R979" i="48"/>
  <c r="S974" i="48"/>
  <c r="T966" i="48"/>
  <c r="R966" i="48"/>
  <c r="R984" i="48"/>
  <c r="S970" i="48"/>
  <c r="T984" i="48"/>
  <c r="R975" i="48"/>
  <c r="R581" i="48" s="1"/>
  <c r="W73" i="45" s="1"/>
  <c r="W111" i="45" s="1"/>
  <c r="S980" i="48"/>
  <c r="S975" i="48"/>
  <c r="S979" i="48"/>
  <c r="T979" i="48"/>
  <c r="T970" i="48"/>
  <c r="R980" i="48"/>
  <c r="R586" i="48" s="1"/>
  <c r="W64" i="45" s="1"/>
  <c r="R974" i="48"/>
  <c r="R580" i="48" s="1"/>
  <c r="W36" i="45" s="1"/>
  <c r="S966" i="48"/>
  <c r="S984" i="48"/>
  <c r="T974" i="48"/>
  <c r="R976" i="48"/>
  <c r="R582" i="48" s="1"/>
  <c r="R988" i="48"/>
  <c r="R594" i="48" s="1"/>
  <c r="R34" i="50" s="1"/>
  <c r="S976" i="48"/>
  <c r="S988" i="48"/>
  <c r="R981" i="48"/>
  <c r="S981" i="48"/>
  <c r="T971" i="48"/>
  <c r="T981" i="48"/>
  <c r="T988" i="48"/>
  <c r="R967" i="48"/>
  <c r="R573" i="48" s="1"/>
  <c r="R985" i="48"/>
  <c r="R591" i="48" s="1"/>
  <c r="R987" i="48"/>
  <c r="R593" i="48" s="1"/>
  <c r="R33" i="50" s="1"/>
  <c r="S967" i="48"/>
  <c r="S985" i="48"/>
  <c r="S987" i="48"/>
  <c r="R971" i="48"/>
  <c r="R577" i="48" s="1"/>
  <c r="S971" i="48"/>
  <c r="T967" i="48"/>
  <c r="T976" i="48"/>
  <c r="T985" i="48"/>
  <c r="T987" i="48"/>
  <c r="U974" i="48"/>
  <c r="V970" i="48"/>
  <c r="V967" i="48"/>
  <c r="V985" i="48"/>
  <c r="U976" i="48"/>
  <c r="U980" i="48"/>
  <c r="U970" i="48"/>
  <c r="U975" i="48"/>
  <c r="V979" i="48"/>
  <c r="V966" i="48"/>
  <c r="V984" i="48"/>
  <c r="V987" i="48"/>
  <c r="U971" i="48"/>
  <c r="T975" i="48"/>
  <c r="U966" i="48"/>
  <c r="U984" i="48"/>
  <c r="U979" i="48"/>
  <c r="V974" i="48"/>
  <c r="V971" i="48"/>
  <c r="V988" i="48"/>
  <c r="U981" i="48"/>
  <c r="U987" i="48"/>
  <c r="U988" i="48"/>
  <c r="V980" i="48"/>
  <c r="U985" i="48"/>
  <c r="W970" i="48"/>
  <c r="W967" i="48"/>
  <c r="W976" i="48"/>
  <c r="W985" i="48"/>
  <c r="W975" i="48"/>
  <c r="AA981" i="48"/>
  <c r="Z976" i="48"/>
  <c r="Y971" i="48"/>
  <c r="X967" i="48"/>
  <c r="X985" i="48"/>
  <c r="AA985" i="48"/>
  <c r="Z981" i="48"/>
  <c r="Y976" i="48"/>
  <c r="X971" i="48"/>
  <c r="V976" i="48"/>
  <c r="W966" i="48"/>
  <c r="W974" i="48"/>
  <c r="W971" i="48"/>
  <c r="W980" i="48"/>
  <c r="AA967" i="48"/>
  <c r="AA971" i="48"/>
  <c r="Z967" i="48"/>
  <c r="Z985" i="48"/>
  <c r="Y981" i="48"/>
  <c r="X976" i="48"/>
  <c r="T980" i="48"/>
  <c r="U967" i="48"/>
  <c r="V975" i="48"/>
  <c r="W979" i="48"/>
  <c r="W984" i="48"/>
  <c r="W987" i="48"/>
  <c r="W988" i="48"/>
  <c r="AA976" i="48"/>
  <c r="Z971" i="48"/>
  <c r="Y967" i="48"/>
  <c r="Y985" i="48"/>
  <c r="X981" i="48"/>
  <c r="AC975" i="48"/>
  <c r="AA975" i="48"/>
  <c r="AC976" i="48"/>
  <c r="Y966" i="48"/>
  <c r="AA970" i="48"/>
  <c r="AB987" i="48"/>
  <c r="AA988" i="48"/>
  <c r="S990" i="48"/>
  <c r="Y988" i="48"/>
  <c r="X987" i="48"/>
  <c r="Y987" i="48"/>
  <c r="Z984" i="48"/>
  <c r="AC984" i="48"/>
  <c r="AB974" i="48"/>
  <c r="AC966" i="48"/>
  <c r="AC970" i="48"/>
  <c r="X974" i="48"/>
  <c r="V990" i="48"/>
  <c r="AB976" i="48"/>
  <c r="AA987" i="48"/>
  <c r="X975" i="48"/>
  <c r="AA974" i="48"/>
  <c r="AA966" i="48"/>
  <c r="X966" i="48"/>
  <c r="AB967" i="48"/>
  <c r="W990" i="48"/>
  <c r="AB981" i="48"/>
  <c r="X970" i="48"/>
  <c r="Z970" i="48"/>
  <c r="X984" i="48"/>
  <c r="AC974" i="48"/>
  <c r="Y975" i="48"/>
  <c r="Z966" i="48"/>
  <c r="Z988" i="48"/>
  <c r="AC967" i="48"/>
  <c r="U990" i="48"/>
  <c r="Z974" i="48"/>
  <c r="AC988" i="48"/>
  <c r="X988" i="48"/>
  <c r="R990" i="48"/>
  <c r="Z987" i="48"/>
  <c r="AC987" i="48"/>
  <c r="AB975" i="48"/>
  <c r="AB970" i="48"/>
  <c r="Y984" i="48"/>
  <c r="Z975" i="48"/>
  <c r="AB971" i="48"/>
  <c r="AC985" i="48"/>
  <c r="AB984" i="48"/>
  <c r="Y979" i="48"/>
  <c r="AB990" i="48"/>
  <c r="AB988" i="48"/>
  <c r="T990" i="48"/>
  <c r="AB966" i="48"/>
  <c r="X979" i="48"/>
  <c r="AB979" i="48"/>
  <c r="Z990" i="48"/>
  <c r="Z979" i="48"/>
  <c r="AC980" i="48"/>
  <c r="Y980" i="48"/>
  <c r="AB980" i="48"/>
  <c r="AA990" i="48"/>
  <c r="AB985" i="48"/>
  <c r="AC971" i="48"/>
  <c r="X990" i="48"/>
  <c r="Y990" i="48"/>
  <c r="Y974" i="48"/>
  <c r="AC981" i="48"/>
  <c r="AA984" i="48"/>
  <c r="Y970" i="48"/>
  <c r="AC979" i="48"/>
  <c r="AA979" i="48"/>
  <c r="Z980" i="48"/>
  <c r="AA980" i="48"/>
  <c r="X980" i="48"/>
  <c r="H59" i="50"/>
  <c r="E46" i="79"/>
  <c r="J34" i="80"/>
  <c r="I38" i="80"/>
  <c r="L63" i="45"/>
  <c r="L68" i="45"/>
  <c r="L107" i="45"/>
  <c r="P13" i="46"/>
  <c r="P15" i="45"/>
  <c r="P53" i="45" s="1"/>
  <c r="V372" i="48"/>
  <c r="R169" i="48"/>
  <c r="Q171" i="48"/>
  <c r="U119" i="45"/>
  <c r="M32" i="45"/>
  <c r="M69" i="45"/>
  <c r="G19" i="81"/>
  <c r="E614" i="48"/>
  <c r="G644" i="48"/>
  <c r="G580" i="48" s="1"/>
  <c r="H674" i="48"/>
  <c r="H580" i="48" s="1"/>
  <c r="M36" i="45" s="1"/>
  <c r="M34" i="45" s="1"/>
  <c r="M218" i="45" s="1"/>
  <c r="J734" i="48"/>
  <c r="J580" i="48" s="1"/>
  <c r="O36" i="45" s="1"/>
  <c r="L794" i="48"/>
  <c r="I704" i="48"/>
  <c r="I580" i="48" s="1"/>
  <c r="N36" i="45" s="1"/>
  <c r="N34" i="45" s="1"/>
  <c r="N218" i="45" s="1"/>
  <c r="K764" i="48"/>
  <c r="K580" i="48" s="1"/>
  <c r="P36" i="45" s="1"/>
  <c r="P34" i="45" s="1"/>
  <c r="M824" i="48"/>
  <c r="M580" i="48" s="1"/>
  <c r="R36" i="45" s="1"/>
  <c r="N854" i="48"/>
  <c r="N580" i="48" s="1"/>
  <c r="S36" i="45" s="1"/>
  <c r="O884" i="48"/>
  <c r="O580" i="48" s="1"/>
  <c r="T36" i="45" s="1"/>
  <c r="P914" i="48"/>
  <c r="P580" i="48" s="1"/>
  <c r="U36" i="45" s="1"/>
  <c r="K109" i="50"/>
  <c r="R496" i="48"/>
  <c r="R490" i="48"/>
  <c r="U495" i="48"/>
  <c r="D495" i="48" s="1"/>
  <c r="E495" i="48" s="1"/>
  <c r="U489" i="48"/>
  <c r="D489" i="48" s="1"/>
  <c r="Y362" i="48"/>
  <c r="Y366" i="48"/>
  <c r="X371" i="48"/>
  <c r="S270" i="48"/>
  <c r="R271" i="48"/>
  <c r="R294" i="48"/>
  <c r="R542" i="48" s="1"/>
  <c r="R630" i="48" s="1"/>
  <c r="O41" i="47"/>
  <c r="T49" i="45" s="1"/>
  <c r="P40" i="47"/>
  <c r="L621" i="48"/>
  <c r="W981" i="48" s="1"/>
  <c r="L499" i="48"/>
  <c r="K436" i="48"/>
  <c r="P107" i="45"/>
  <c r="K111" i="50"/>
  <c r="N19" i="48"/>
  <c r="O10" i="48"/>
  <c r="N11" i="48"/>
  <c r="N14" i="48"/>
  <c r="M537" i="48"/>
  <c r="N537" i="48" s="1"/>
  <c r="O36" i="81"/>
  <c r="O32" i="81" s="1"/>
  <c r="P38" i="81"/>
  <c r="L75" i="81"/>
  <c r="K71" i="81"/>
  <c r="W361" i="48"/>
  <c r="W365" i="48"/>
  <c r="W367" i="48" s="1"/>
  <c r="V363" i="48"/>
  <c r="P113" i="45"/>
  <c r="L437" i="48"/>
  <c r="L436" i="48" s="1"/>
  <c r="L20" i="48"/>
  <c r="L396" i="48" s="1"/>
  <c r="M440" i="48"/>
  <c r="G572" i="48"/>
  <c r="H665" i="48"/>
  <c r="E606" i="48"/>
  <c r="G636" i="48"/>
  <c r="H666" i="48"/>
  <c r="J726" i="48"/>
  <c r="K756" i="48"/>
  <c r="L786" i="48"/>
  <c r="I696" i="48"/>
  <c r="M816" i="48"/>
  <c r="N846" i="48"/>
  <c r="O876" i="48"/>
  <c r="P906" i="48"/>
  <c r="Q38" i="45"/>
  <c r="Q75" i="45"/>
  <c r="G55" i="80"/>
  <c r="F69" i="80"/>
  <c r="J631" i="48"/>
  <c r="K681" i="48"/>
  <c r="J651" i="48"/>
  <c r="J587" i="48" s="1"/>
  <c r="N771" i="48"/>
  <c r="O801" i="48"/>
  <c r="M741" i="48"/>
  <c r="L711" i="48"/>
  <c r="P831" i="48"/>
  <c r="Q861" i="48"/>
  <c r="R891" i="48"/>
  <c r="S921" i="48"/>
  <c r="O6" i="45"/>
  <c r="O5" i="46"/>
  <c r="L29" i="45"/>
  <c r="L66" i="45"/>
  <c r="V233" i="48"/>
  <c r="U235" i="48"/>
  <c r="M38" i="45"/>
  <c r="M75" i="45"/>
  <c r="J536" i="48"/>
  <c r="J535" i="48" s="1"/>
  <c r="Z339" i="48"/>
  <c r="AA330" i="48"/>
  <c r="Z334" i="48"/>
  <c r="Z335" i="48" s="1"/>
  <c r="K472" i="48"/>
  <c r="P72" i="45" s="1"/>
  <c r="T179" i="48"/>
  <c r="U170" i="48"/>
  <c r="H37" i="80"/>
  <c r="H41" i="80"/>
  <c r="V181" i="56"/>
  <c r="T181" i="56"/>
  <c r="W181" i="56"/>
  <c r="X181" i="56" s="1"/>
  <c r="S182" i="56"/>
  <c r="V89" i="48"/>
  <c r="V510" i="48" s="1"/>
  <c r="V91" i="48"/>
  <c r="V87" i="48"/>
  <c r="V88" i="48"/>
  <c r="V92" i="48"/>
  <c r="V86" i="48"/>
  <c r="V453" i="48" s="1"/>
  <c r="V85" i="48"/>
  <c r="O111" i="48"/>
  <c r="P110" i="48"/>
  <c r="O537" i="48"/>
  <c r="V477" i="48"/>
  <c r="V471" i="48"/>
  <c r="Q689" i="48"/>
  <c r="P659" i="48"/>
  <c r="P595" i="48" s="1"/>
  <c r="U809" i="48"/>
  <c r="S749" i="48"/>
  <c r="R719" i="48"/>
  <c r="T779" i="48"/>
  <c r="V839" i="48"/>
  <c r="W869" i="48"/>
  <c r="X899" i="48"/>
  <c r="Y929" i="48"/>
  <c r="M29" i="45"/>
  <c r="M66" i="45"/>
  <c r="R174" i="48"/>
  <c r="Q175" i="48"/>
  <c r="I670" i="48"/>
  <c r="I576" i="48" s="1"/>
  <c r="N33" i="45" s="1"/>
  <c r="H640" i="48"/>
  <c r="H576" i="48" s="1"/>
  <c r="K730" i="48"/>
  <c r="K576" i="48" s="1"/>
  <c r="P33" i="45" s="1"/>
  <c r="P70" i="45" s="1"/>
  <c r="P108" i="45" s="1"/>
  <c r="J700" i="48"/>
  <c r="J576" i="48" s="1"/>
  <c r="O33" i="45" s="1"/>
  <c r="M790" i="48"/>
  <c r="M576" i="48" s="1"/>
  <c r="R33" i="45" s="1"/>
  <c r="R70" i="45" s="1"/>
  <c r="R108" i="45" s="1"/>
  <c r="L760" i="48"/>
  <c r="L576" i="48" s="1"/>
  <c r="Q33" i="45" s="1"/>
  <c r="Q70" i="45" s="1"/>
  <c r="Q108" i="45" s="1"/>
  <c r="N820" i="48"/>
  <c r="N576" i="48" s="1"/>
  <c r="S33" i="45" s="1"/>
  <c r="S70" i="45" s="1"/>
  <c r="S108" i="45" s="1"/>
  <c r="O850" i="48"/>
  <c r="O576" i="48" s="1"/>
  <c r="T33" i="45" s="1"/>
  <c r="T70" i="45" s="1"/>
  <c r="T108" i="45" s="1"/>
  <c r="P880" i="48"/>
  <c r="P576" i="48" s="1"/>
  <c r="U33" i="45" s="1"/>
  <c r="U70" i="45" s="1"/>
  <c r="U108" i="45" s="1"/>
  <c r="Q910" i="48"/>
  <c r="Q576" i="48" s="1"/>
  <c r="V33" i="45" s="1"/>
  <c r="V70" i="45" s="1"/>
  <c r="V108" i="45" s="1"/>
  <c r="J430" i="48"/>
  <c r="M206" i="45"/>
  <c r="Y83" i="45"/>
  <c r="M110" i="45"/>
  <c r="P18" i="46"/>
  <c r="P18" i="45" s="1"/>
  <c r="P56" i="45" s="1"/>
  <c r="P93" i="45" s="1"/>
  <c r="P17" i="46"/>
  <c r="O16" i="45"/>
  <c r="O220" i="45" s="1"/>
  <c r="Q56" i="48"/>
  <c r="Q55" i="48"/>
  <c r="Q60" i="48"/>
  <c r="Q54" i="48"/>
  <c r="Q59" i="48"/>
  <c r="Q53" i="48"/>
  <c r="Q57" i="48"/>
  <c r="R585" i="48"/>
  <c r="W27" i="45" s="1"/>
  <c r="Q12" i="46"/>
  <c r="P10" i="45"/>
  <c r="Q660" i="48"/>
  <c r="R690" i="48"/>
  <c r="V810" i="48"/>
  <c r="T750" i="48"/>
  <c r="U780" i="48"/>
  <c r="S720" i="48"/>
  <c r="W840" i="48"/>
  <c r="X870" i="48"/>
  <c r="Y900" i="48"/>
  <c r="Z930" i="48"/>
  <c r="S86" i="45"/>
  <c r="E619" i="48"/>
  <c r="H679" i="48"/>
  <c r="H585" i="48" s="1"/>
  <c r="M27" i="45" s="1"/>
  <c r="G649" i="48"/>
  <c r="G585" i="48" s="1"/>
  <c r="J739" i="48"/>
  <c r="J585" i="48" s="1"/>
  <c r="O27" i="45" s="1"/>
  <c r="L799" i="48"/>
  <c r="L585" i="48" s="1"/>
  <c r="Q27" i="45" s="1"/>
  <c r="I709" i="48"/>
  <c r="I585" i="48" s="1"/>
  <c r="N27" i="45" s="1"/>
  <c r="K769" i="48"/>
  <c r="K585" i="48" s="1"/>
  <c r="P27" i="45" s="1"/>
  <c r="M829" i="48"/>
  <c r="M585" i="48" s="1"/>
  <c r="R27" i="45" s="1"/>
  <c r="N859" i="48"/>
  <c r="N585" i="48" s="1"/>
  <c r="S27" i="45" s="1"/>
  <c r="O889" i="48"/>
  <c r="O585" i="48" s="1"/>
  <c r="T27" i="45" s="1"/>
  <c r="P919" i="48"/>
  <c r="P585" i="48" s="1"/>
  <c r="U27" i="45" s="1"/>
  <c r="E615" i="48"/>
  <c r="H675" i="48"/>
  <c r="G645" i="48"/>
  <c r="G581" i="48" s="1"/>
  <c r="L795" i="48"/>
  <c r="I705" i="48"/>
  <c r="K765" i="48"/>
  <c r="J735" i="48"/>
  <c r="M825" i="48"/>
  <c r="N855" i="48"/>
  <c r="O885" i="48"/>
  <c r="P915" i="48"/>
  <c r="P31" i="45"/>
  <c r="P217" i="45" s="1"/>
  <c r="I17" i="50"/>
  <c r="I19" i="50" s="1"/>
  <c r="M24" i="48"/>
  <c r="M21" i="48"/>
  <c r="M23" i="48"/>
  <c r="M25" i="48"/>
  <c r="M509" i="48" s="1"/>
  <c r="M508" i="48" s="1"/>
  <c r="M28" i="48"/>
  <c r="M27" i="48"/>
  <c r="M22" i="48"/>
  <c r="M452" i="48" s="1"/>
  <c r="M451" i="48" s="1"/>
  <c r="U422" i="48"/>
  <c r="L39" i="45"/>
  <c r="L76" i="45" s="1"/>
  <c r="L114" i="45" s="1"/>
  <c r="M101" i="45"/>
  <c r="Q69" i="45"/>
  <c r="Q32" i="45"/>
  <c r="Q31" i="45" s="1"/>
  <c r="Q217" i="45" s="1"/>
  <c r="X26" i="47"/>
  <c r="AB184" i="45"/>
  <c r="AB122" i="45" s="1"/>
  <c r="J13" i="81"/>
  <c r="I11" i="81"/>
  <c r="L37" i="79"/>
  <c r="O127" i="50"/>
  <c r="L473" i="48"/>
  <c r="L472" i="48" s="1"/>
  <c r="Q72" i="45" s="1"/>
  <c r="L467" i="48"/>
  <c r="L466" i="48" s="1"/>
  <c r="Q35" i="45" s="1"/>
  <c r="M540" i="48"/>
  <c r="D994" i="48"/>
  <c r="E994" i="48"/>
  <c r="C1024" i="48"/>
  <c r="I684" i="48"/>
  <c r="I590" i="48" s="1"/>
  <c r="N39" i="45" s="1"/>
  <c r="H654" i="48"/>
  <c r="H590" i="48" s="1"/>
  <c r="M39" i="45" s="1"/>
  <c r="M76" i="45" s="1"/>
  <c r="M114" i="45" s="1"/>
  <c r="K744" i="48"/>
  <c r="K590" i="48" s="1"/>
  <c r="P39" i="45" s="1"/>
  <c r="P76" i="45" s="1"/>
  <c r="P114" i="45" s="1"/>
  <c r="J714" i="48"/>
  <c r="J590" i="48" s="1"/>
  <c r="O39" i="45" s="1"/>
  <c r="O76" i="45" s="1"/>
  <c r="O114" i="45" s="1"/>
  <c r="L774" i="48"/>
  <c r="L590" i="48" s="1"/>
  <c r="Q39" i="45" s="1"/>
  <c r="Q76" i="45" s="1"/>
  <c r="Q114" i="45" s="1"/>
  <c r="M804" i="48"/>
  <c r="M590" i="48" s="1"/>
  <c r="R39" i="45" s="1"/>
  <c r="R76" i="45" s="1"/>
  <c r="R114" i="45" s="1"/>
  <c r="N834" i="48"/>
  <c r="N590" i="48" s="1"/>
  <c r="S39" i="45" s="1"/>
  <c r="S76" i="45" s="1"/>
  <c r="S114" i="45" s="1"/>
  <c r="O864" i="48"/>
  <c r="O590" i="48" s="1"/>
  <c r="T39" i="45" s="1"/>
  <c r="T76" i="45" s="1"/>
  <c r="T114" i="45" s="1"/>
  <c r="P894" i="48"/>
  <c r="P590" i="48" s="1"/>
  <c r="U39" i="45" s="1"/>
  <c r="U76" i="45" s="1"/>
  <c r="U114" i="45" s="1"/>
  <c r="Q924" i="48"/>
  <c r="Q590" i="48" s="1"/>
  <c r="V39" i="45" s="1"/>
  <c r="V76" i="45" s="1"/>
  <c r="V114" i="45" s="1"/>
  <c r="Y344" i="48"/>
  <c r="Y343" i="48"/>
  <c r="Y342" i="48"/>
  <c r="Y348" i="48"/>
  <c r="Y347" i="48"/>
  <c r="Y341" i="48"/>
  <c r="Y340" i="48" s="1"/>
  <c r="Y345" i="48"/>
  <c r="L586" i="48"/>
  <c r="Q64" i="45" s="1"/>
  <c r="S184" i="48"/>
  <c r="S181" i="48"/>
  <c r="S183" i="48"/>
  <c r="S185" i="48"/>
  <c r="S511" i="48" s="1"/>
  <c r="S188" i="48"/>
  <c r="S187" i="48"/>
  <c r="S186" i="48" s="1"/>
  <c r="S409" i="48" s="1"/>
  <c r="S182" i="48"/>
  <c r="S454" i="48" s="1"/>
  <c r="O104" i="45"/>
  <c r="G44" i="80"/>
  <c r="P58" i="48"/>
  <c r="W83" i="48"/>
  <c r="W75" i="48"/>
  <c r="X74" i="48"/>
  <c r="X78" i="48"/>
  <c r="V498" i="48"/>
  <c r="V492" i="48"/>
  <c r="O34" i="45"/>
  <c r="O218" i="45" s="1"/>
  <c r="N5" i="81"/>
  <c r="Q59" i="50"/>
  <c r="R51" i="50"/>
  <c r="N45" i="79"/>
  <c r="K110" i="50"/>
  <c r="H636" i="48"/>
  <c r="H572" i="48" s="1"/>
  <c r="M30" i="45" s="1"/>
  <c r="M67" i="45" s="1"/>
  <c r="M105" i="45" s="1"/>
  <c r="I666" i="48"/>
  <c r="I572" i="48" s="1"/>
  <c r="N30" i="45" s="1"/>
  <c r="L756" i="48"/>
  <c r="L572" i="48" s="1"/>
  <c r="Q30" i="45" s="1"/>
  <c r="Q67" i="45" s="1"/>
  <c r="Q105" i="45" s="1"/>
  <c r="K726" i="48"/>
  <c r="K572" i="48" s="1"/>
  <c r="P30" i="45" s="1"/>
  <c r="P67" i="45" s="1"/>
  <c r="P105" i="45" s="1"/>
  <c r="M786" i="48"/>
  <c r="M572" i="48" s="1"/>
  <c r="R30" i="45" s="1"/>
  <c r="R67" i="45" s="1"/>
  <c r="R105" i="45" s="1"/>
  <c r="J696" i="48"/>
  <c r="J572" i="48" s="1"/>
  <c r="O30" i="45" s="1"/>
  <c r="O67" i="45" s="1"/>
  <c r="O105" i="45" s="1"/>
  <c r="N816" i="48"/>
  <c r="N572" i="48" s="1"/>
  <c r="S30" i="45" s="1"/>
  <c r="S67" i="45" s="1"/>
  <c r="S105" i="45" s="1"/>
  <c r="O846" i="48"/>
  <c r="O572" i="48" s="1"/>
  <c r="T30" i="45" s="1"/>
  <c r="T67" i="45" s="1"/>
  <c r="T105" i="45" s="1"/>
  <c r="P876" i="48"/>
  <c r="P572" i="48" s="1"/>
  <c r="U30" i="45" s="1"/>
  <c r="U67" i="45" s="1"/>
  <c r="U105" i="45" s="1"/>
  <c r="Q906" i="48"/>
  <c r="Q572" i="48" s="1"/>
  <c r="V30" i="45" s="1"/>
  <c r="V67" i="45" s="1"/>
  <c r="V105" i="45" s="1"/>
  <c r="L35" i="45"/>
  <c r="J499" i="48"/>
  <c r="D499" i="48" s="1"/>
  <c r="D500" i="48"/>
  <c r="R475" i="48"/>
  <c r="R469" i="48"/>
  <c r="R186" i="48"/>
  <c r="R409" i="48" s="1"/>
  <c r="V38" i="47"/>
  <c r="Z46" i="45"/>
  <c r="J429" i="48"/>
  <c r="G158" i="56"/>
  <c r="I675" i="48"/>
  <c r="I581" i="48" s="1"/>
  <c r="N73" i="45" s="1"/>
  <c r="H645" i="48"/>
  <c r="H581" i="48" s="1"/>
  <c r="M73" i="45" s="1"/>
  <c r="L765" i="48"/>
  <c r="L581" i="48" s="1"/>
  <c r="Q73" i="45" s="1"/>
  <c r="K735" i="48"/>
  <c r="K581" i="48" s="1"/>
  <c r="P73" i="45" s="1"/>
  <c r="J705" i="48"/>
  <c r="J581" i="48" s="1"/>
  <c r="O73" i="45" s="1"/>
  <c r="M795" i="48"/>
  <c r="M581" i="48" s="1"/>
  <c r="R73" i="45" s="1"/>
  <c r="R111" i="45" s="1"/>
  <c r="N825" i="48"/>
  <c r="N581" i="48" s="1"/>
  <c r="S73" i="45" s="1"/>
  <c r="S111" i="45" s="1"/>
  <c r="O855" i="48"/>
  <c r="O581" i="48" s="1"/>
  <c r="T73" i="45" s="1"/>
  <c r="T111" i="45" s="1"/>
  <c r="P885" i="48"/>
  <c r="P581" i="48" s="1"/>
  <c r="U73" i="45" s="1"/>
  <c r="Q915" i="48"/>
  <c r="Q581" i="48" s="1"/>
  <c r="V73" i="45" s="1"/>
  <c r="V111" i="45" s="1"/>
  <c r="O55" i="45"/>
  <c r="O203" i="45"/>
  <c r="S42" i="48"/>
  <c r="R51" i="48"/>
  <c r="R43" i="48"/>
  <c r="S46" i="48"/>
  <c r="S47" i="48" s="1"/>
  <c r="R954" i="48"/>
  <c r="R590" i="48" s="1"/>
  <c r="W39" i="45" s="1"/>
  <c r="W76" i="45" s="1"/>
  <c r="W114" i="45" s="1"/>
  <c r="R936" i="48"/>
  <c r="R572" i="48" s="1"/>
  <c r="W30" i="45" s="1"/>
  <c r="W67" i="45" s="1"/>
  <c r="W105" i="45" s="1"/>
  <c r="P87" i="45"/>
  <c r="P48" i="45"/>
  <c r="W376" i="48"/>
  <c r="W377" i="48"/>
  <c r="W513" i="48" s="1"/>
  <c r="W379" i="48"/>
  <c r="W374" i="48"/>
  <c r="W456" i="48" s="1"/>
  <c r="W375" i="48"/>
  <c r="W380" i="48"/>
  <c r="W373" i="48"/>
  <c r="Q629" i="48"/>
  <c r="AB989" i="48" s="1"/>
  <c r="K95" i="50"/>
  <c r="K97" i="50" s="1"/>
  <c r="K101" i="50"/>
  <c r="K100" i="50"/>
  <c r="L99" i="50"/>
  <c r="X346" i="48"/>
  <c r="K621" i="48"/>
  <c r="K499" i="48"/>
  <c r="M154" i="45"/>
  <c r="F17" i="1"/>
  <c r="L580" i="48"/>
  <c r="Q36" i="45" s="1"/>
  <c r="K538" i="48"/>
  <c r="O108" i="50"/>
  <c r="O75" i="45"/>
  <c r="O38" i="45"/>
  <c r="P660" i="48"/>
  <c r="P596" i="48" s="1"/>
  <c r="P597" i="48" s="1"/>
  <c r="Q690" i="48"/>
  <c r="R720" i="48"/>
  <c r="U810" i="48"/>
  <c r="S750" i="48"/>
  <c r="T780" i="48"/>
  <c r="V840" i="48"/>
  <c r="W870" i="48"/>
  <c r="X900" i="48"/>
  <c r="Y930" i="48"/>
  <c r="E498" i="48"/>
  <c r="P35" i="50"/>
  <c r="P36" i="50" s="1"/>
  <c r="Q36" i="50" s="1"/>
  <c r="T208" i="45" l="1"/>
  <c r="Q111" i="45"/>
  <c r="S208" i="45"/>
  <c r="Q208" i="45"/>
  <c r="Q596" i="48"/>
  <c r="Q597" i="48" s="1"/>
  <c r="R208" i="45"/>
  <c r="O65" i="45"/>
  <c r="U208" i="45"/>
  <c r="R35" i="50"/>
  <c r="R36" i="50" s="1"/>
  <c r="W102" i="45"/>
  <c r="M111" i="45"/>
  <c r="M71" i="45"/>
  <c r="O208" i="45"/>
  <c r="O25" i="45"/>
  <c r="U102" i="45"/>
  <c r="O102" i="45"/>
  <c r="O62" i="45"/>
  <c r="P208" i="45"/>
  <c r="P25" i="45"/>
  <c r="M33" i="45"/>
  <c r="M70" i="45" s="1"/>
  <c r="M108" i="45" s="1"/>
  <c r="L36" i="45"/>
  <c r="O37" i="79"/>
  <c r="R127" i="50"/>
  <c r="T102" i="45"/>
  <c r="M102" i="45"/>
  <c r="M62" i="45"/>
  <c r="L73" i="45"/>
  <c r="L111" i="45" s="1"/>
  <c r="N208" i="45"/>
  <c r="N25" i="45"/>
  <c r="R102" i="45"/>
  <c r="H158" i="56"/>
  <c r="G163" i="56"/>
  <c r="H163" i="56" s="1"/>
  <c r="L34" i="45"/>
  <c r="L218" i="45" s="1"/>
  <c r="L110" i="50"/>
  <c r="R32" i="45"/>
  <c r="R31" i="45" s="1"/>
  <c r="R217" i="45" s="1"/>
  <c r="R69" i="45"/>
  <c r="M473" i="48"/>
  <c r="M472" i="48" s="1"/>
  <c r="R72" i="45" s="1"/>
  <c r="M467" i="48"/>
  <c r="M466" i="48" s="1"/>
  <c r="M208" i="45"/>
  <c r="M212" i="45" s="1"/>
  <c r="W208" i="45"/>
  <c r="M210" i="45"/>
  <c r="M28" i="45"/>
  <c r="Q110" i="48"/>
  <c r="P111" i="48"/>
  <c r="P537" i="48"/>
  <c r="T184" i="48"/>
  <c r="T182" i="48"/>
  <c r="T454" i="48" s="1"/>
  <c r="T183" i="48"/>
  <c r="T181" i="48"/>
  <c r="T185" i="48"/>
  <c r="T511" i="48" s="1"/>
  <c r="T188" i="48"/>
  <c r="T187" i="48"/>
  <c r="T186" i="48" s="1"/>
  <c r="T409" i="48" s="1"/>
  <c r="M74" i="45"/>
  <c r="M113" i="45"/>
  <c r="G14" i="81"/>
  <c r="J9" i="50"/>
  <c r="H20" i="81" s="1"/>
  <c r="J10" i="50"/>
  <c r="G16" i="81" s="1"/>
  <c r="J12" i="50"/>
  <c r="J11" i="50"/>
  <c r="G6" i="79"/>
  <c r="G58" i="81"/>
  <c r="G59" i="81"/>
  <c r="G55" i="81"/>
  <c r="G15" i="81"/>
  <c r="Q74" i="45"/>
  <c r="Q113" i="45"/>
  <c r="L30" i="45"/>
  <c r="L67" i="45" s="1"/>
  <c r="L105" i="45" s="1"/>
  <c r="L71" i="81"/>
  <c r="N15" i="48"/>
  <c r="L111" i="50"/>
  <c r="M111" i="50" s="1"/>
  <c r="S690" i="48"/>
  <c r="R660" i="48"/>
  <c r="R596" i="48" s="1"/>
  <c r="R597" i="48" s="1"/>
  <c r="U750" i="48"/>
  <c r="W810" i="48"/>
  <c r="T720" i="48"/>
  <c r="V780" i="48"/>
  <c r="X840" i="48"/>
  <c r="Y870" i="48"/>
  <c r="Z900" i="48"/>
  <c r="AA930" i="48"/>
  <c r="AB960" i="48"/>
  <c r="S169" i="48"/>
  <c r="R171" i="48"/>
  <c r="L101" i="45"/>
  <c r="L487" i="48"/>
  <c r="P6" i="46"/>
  <c r="P7" i="45"/>
  <c r="Q9" i="46"/>
  <c r="T238" i="48"/>
  <c r="S239" i="48"/>
  <c r="P102" i="45"/>
  <c r="J133" i="50"/>
  <c r="J103" i="50" s="1"/>
  <c r="I102" i="50"/>
  <c r="F68" i="81"/>
  <c r="G119" i="50"/>
  <c r="F19" i="1"/>
  <c r="K536" i="48"/>
  <c r="P62" i="45"/>
  <c r="X23" i="47"/>
  <c r="AB181" i="45"/>
  <c r="N681" i="48"/>
  <c r="M651" i="48"/>
  <c r="P741" i="48"/>
  <c r="R801" i="48"/>
  <c r="Q771" i="48"/>
  <c r="O711" i="48"/>
  <c r="S831" i="48"/>
  <c r="T861" i="48"/>
  <c r="U891" i="48"/>
  <c r="M631" i="48"/>
  <c r="V921" i="48"/>
  <c r="W951" i="48"/>
  <c r="V208" i="45"/>
  <c r="N37" i="79"/>
  <c r="Q127" i="50"/>
  <c r="O54" i="45"/>
  <c r="O92" i="45"/>
  <c r="W87" i="48"/>
  <c r="W88" i="48"/>
  <c r="W86" i="48"/>
  <c r="W453" i="48" s="1"/>
  <c r="W89" i="48"/>
  <c r="W510" i="48" s="1"/>
  <c r="W92" i="48"/>
  <c r="W91" i="48"/>
  <c r="W90" i="48" s="1"/>
  <c r="W85" i="48"/>
  <c r="S439" i="48"/>
  <c r="S180" i="48"/>
  <c r="S408" i="48" s="1"/>
  <c r="S410" i="48" s="1"/>
  <c r="O37" i="45"/>
  <c r="O221" i="45" s="1"/>
  <c r="O206" i="45"/>
  <c r="O205" i="45" s="1"/>
  <c r="W477" i="48"/>
  <c r="W471" i="48"/>
  <c r="W498" i="48"/>
  <c r="W492" i="48"/>
  <c r="R56" i="48"/>
  <c r="R53" i="48"/>
  <c r="R59" i="48"/>
  <c r="R58" i="48" s="1"/>
  <c r="R60" i="48"/>
  <c r="R54" i="48"/>
  <c r="R55" i="48"/>
  <c r="R57" i="48"/>
  <c r="S496" i="48"/>
  <c r="S490" i="48"/>
  <c r="Y346" i="48"/>
  <c r="D1024" i="48"/>
  <c r="E1024" i="48"/>
  <c r="C1054" i="48"/>
  <c r="Q34" i="45"/>
  <c r="K13" i="81"/>
  <c r="J11" i="81"/>
  <c r="Q68" i="45"/>
  <c r="Q107" i="45"/>
  <c r="M26" i="48"/>
  <c r="M397" i="48" s="1"/>
  <c r="M428" i="48" s="1"/>
  <c r="M437" i="48"/>
  <c r="M436" i="48" s="1"/>
  <c r="M20" i="48"/>
  <c r="M396" i="48" s="1"/>
  <c r="N440" i="48"/>
  <c r="P172" i="45"/>
  <c r="P218" i="45"/>
  <c r="P17" i="45"/>
  <c r="P16" i="46"/>
  <c r="P16" i="45" s="1"/>
  <c r="P220" i="45" s="1"/>
  <c r="M25" i="45"/>
  <c r="N70" i="45"/>
  <c r="N31" i="45"/>
  <c r="N217" i="45" s="1"/>
  <c r="S174" i="48"/>
  <c r="R175" i="48"/>
  <c r="V489" i="48"/>
  <c r="V495" i="48"/>
  <c r="T182" i="56"/>
  <c r="S183" i="56"/>
  <c r="W182" i="56"/>
  <c r="X182" i="56" s="1"/>
  <c r="H40" i="80"/>
  <c r="AA334" i="48"/>
  <c r="AA335" i="48" s="1"/>
  <c r="AA339" i="48"/>
  <c r="M37" i="45"/>
  <c r="M221" i="45" s="1"/>
  <c r="L65" i="45"/>
  <c r="L104" i="45"/>
  <c r="Q37" i="45"/>
  <c r="Q221" i="45" s="1"/>
  <c r="Q38" i="81"/>
  <c r="Q36" i="81" s="1"/>
  <c r="Q32" i="81" s="1"/>
  <c r="P36" i="81"/>
  <c r="P32" i="81" s="1"/>
  <c r="P66" i="45"/>
  <c r="P29" i="45"/>
  <c r="L538" i="48"/>
  <c r="M538" i="48" s="1"/>
  <c r="N538" i="48" s="1"/>
  <c r="Y371" i="48"/>
  <c r="Z362" i="48"/>
  <c r="Z366" i="48"/>
  <c r="L109" i="50"/>
  <c r="M68" i="45"/>
  <c r="M107" i="45"/>
  <c r="L37" i="45"/>
  <c r="L221" i="45" s="1"/>
  <c r="L135" i="45"/>
  <c r="L146" i="45" s="1"/>
  <c r="L106" i="45"/>
  <c r="P47" i="45"/>
  <c r="P204" i="45"/>
  <c r="P212" i="45" s="1"/>
  <c r="S102" i="45"/>
  <c r="N102" i="45"/>
  <c r="N62" i="45"/>
  <c r="J114" i="50"/>
  <c r="I117" i="50"/>
  <c r="O154" i="45" s="1"/>
  <c r="I115" i="50"/>
  <c r="H118" i="50"/>
  <c r="H119" i="50" s="1"/>
  <c r="R410" i="48"/>
  <c r="M37" i="79"/>
  <c r="P127" i="50"/>
  <c r="E70" i="81"/>
  <c r="E23" i="79"/>
  <c r="H120" i="50"/>
  <c r="L95" i="50"/>
  <c r="L97" i="50" s="1"/>
  <c r="L101" i="50"/>
  <c r="M99" i="50"/>
  <c r="L100" i="50"/>
  <c r="P85" i="45"/>
  <c r="U111" i="45"/>
  <c r="N111" i="45"/>
  <c r="N71" i="45"/>
  <c r="Z83" i="45"/>
  <c r="J17" i="50"/>
  <c r="J19" i="50" s="1"/>
  <c r="O5" i="81"/>
  <c r="O45" i="79"/>
  <c r="Y74" i="48"/>
  <c r="Y78" i="48"/>
  <c r="X83" i="48"/>
  <c r="Q102" i="45"/>
  <c r="Q71" i="45"/>
  <c r="Q109" i="45" s="1"/>
  <c r="Q110" i="45"/>
  <c r="M494" i="48"/>
  <c r="M493" i="48" s="1"/>
  <c r="R63" i="45" s="1"/>
  <c r="M488" i="48"/>
  <c r="M487" i="48" s="1"/>
  <c r="R26" i="45" s="1"/>
  <c r="L27" i="45"/>
  <c r="L208" i="45" s="1"/>
  <c r="L212" i="45" s="1"/>
  <c r="Q12" i="45"/>
  <c r="Q50" i="45" s="1"/>
  <c r="Q10" i="46"/>
  <c r="Q52" i="48"/>
  <c r="O70" i="45"/>
  <c r="O31" i="45"/>
  <c r="O217" i="45" s="1"/>
  <c r="V84" i="48"/>
  <c r="V468" i="48"/>
  <c r="V474" i="48"/>
  <c r="H43" i="80"/>
  <c r="H45" i="80"/>
  <c r="P71" i="45"/>
  <c r="P109" i="45" s="1"/>
  <c r="P110" i="45"/>
  <c r="Z345" i="48"/>
  <c r="Z342" i="48"/>
  <c r="Z343" i="48"/>
  <c r="Z341" i="48"/>
  <c r="Z348" i="48"/>
  <c r="Z344" i="48"/>
  <c r="Z347" i="48"/>
  <c r="L28" i="45"/>
  <c r="L398" i="48"/>
  <c r="L429" i="48" s="1"/>
  <c r="L427" i="48"/>
  <c r="P74" i="45"/>
  <c r="X361" i="48"/>
  <c r="X365" i="48"/>
  <c r="X367" i="48" s="1"/>
  <c r="W363" i="48"/>
  <c r="O19" i="48"/>
  <c r="P10" i="48"/>
  <c r="O11" i="48"/>
  <c r="O14" i="48"/>
  <c r="P41" i="47"/>
  <c r="U49" i="45" s="1"/>
  <c r="Q40" i="47"/>
  <c r="T270" i="48"/>
  <c r="S271" i="48"/>
  <c r="S294" i="48"/>
  <c r="S542" i="48" s="1"/>
  <c r="D542" i="48" s="1"/>
  <c r="L536" i="48"/>
  <c r="L535" i="48" s="1"/>
  <c r="M31" i="45"/>
  <c r="M217" i="45" s="1"/>
  <c r="G56" i="81"/>
  <c r="P51" i="45"/>
  <c r="P90" i="45"/>
  <c r="E49" i="79"/>
  <c r="H130" i="50"/>
  <c r="H60" i="50"/>
  <c r="I60" i="50" s="1"/>
  <c r="J60" i="50" s="1"/>
  <c r="K60" i="50" s="1"/>
  <c r="L60" i="50" s="1"/>
  <c r="M60" i="50" s="1"/>
  <c r="N60" i="50" s="1"/>
  <c r="O60" i="50" s="1"/>
  <c r="G60" i="81"/>
  <c r="P37" i="45"/>
  <c r="P221" i="45" s="1"/>
  <c r="F61" i="80"/>
  <c r="F70" i="80"/>
  <c r="L64" i="45"/>
  <c r="L102" i="45" s="1"/>
  <c r="AF124" i="45"/>
  <c r="AF138" i="45" s="1"/>
  <c r="AF149" i="45" s="1"/>
  <c r="AE138" i="45"/>
  <c r="AE149" i="45" s="1"/>
  <c r="L74" i="45"/>
  <c r="X206" i="48"/>
  <c r="W207" i="48"/>
  <c r="L25" i="45"/>
  <c r="L206" i="45"/>
  <c r="Z329" i="48"/>
  <c r="Y331" i="48"/>
  <c r="N540" i="48"/>
  <c r="P540" i="48" s="1"/>
  <c r="O74" i="45"/>
  <c r="O113" i="45"/>
  <c r="K631" i="48"/>
  <c r="K651" i="48"/>
  <c r="K587" i="48" s="1"/>
  <c r="K17" i="50" s="1"/>
  <c r="K19" i="50" s="1"/>
  <c r="L681" i="48"/>
  <c r="P801" i="48"/>
  <c r="M711" i="48"/>
  <c r="O771" i="48"/>
  <c r="N741" i="48"/>
  <c r="Q831" i="48"/>
  <c r="R861" i="48"/>
  <c r="S891" i="48"/>
  <c r="T921" i="48"/>
  <c r="U951" i="48"/>
  <c r="Q659" i="48"/>
  <c r="Q595" i="48" s="1"/>
  <c r="R689" i="48"/>
  <c r="U779" i="48"/>
  <c r="T749" i="48"/>
  <c r="S719" i="48"/>
  <c r="V809" i="48"/>
  <c r="W839" i="48"/>
  <c r="X869" i="48"/>
  <c r="Y899" i="48"/>
  <c r="Z929" i="48"/>
  <c r="AA959" i="48"/>
  <c r="S51" i="48"/>
  <c r="T42" i="48"/>
  <c r="S43" i="48"/>
  <c r="T46" i="48"/>
  <c r="T47" i="48" s="1"/>
  <c r="O111" i="45"/>
  <c r="O71" i="45"/>
  <c r="P108" i="50"/>
  <c r="W372" i="48"/>
  <c r="W378" i="48"/>
  <c r="O202" i="45"/>
  <c r="O210" i="45"/>
  <c r="P111" i="45"/>
  <c r="W38" i="47"/>
  <c r="AA46" i="45"/>
  <c r="N67" i="45"/>
  <c r="N28" i="45"/>
  <c r="N49" i="79"/>
  <c r="Q130" i="50"/>
  <c r="G47" i="80"/>
  <c r="S469" i="48"/>
  <c r="S475" i="48"/>
  <c r="N76" i="45"/>
  <c r="N37" i="45"/>
  <c r="N221" i="45" s="1"/>
  <c r="V1019" i="48"/>
  <c r="Y1019" i="48"/>
  <c r="AA1019" i="48"/>
  <c r="Z1019" i="48"/>
  <c r="X1019" i="48"/>
  <c r="W1019" i="48"/>
  <c r="U1019" i="48"/>
  <c r="AB1019" i="48"/>
  <c r="T1019" i="48"/>
  <c r="AC1019" i="48"/>
  <c r="S1019" i="48"/>
  <c r="S996" i="48"/>
  <c r="S572" i="48" s="1"/>
  <c r="T1004" i="48"/>
  <c r="S1014" i="48"/>
  <c r="S590" i="48" s="1"/>
  <c r="S1004" i="48"/>
  <c r="S580" i="48" s="1"/>
  <c r="T996" i="48"/>
  <c r="S1000" i="48"/>
  <c r="S576" i="48" s="1"/>
  <c r="X33" i="45" s="1"/>
  <c r="X70" i="45" s="1"/>
  <c r="X108" i="45" s="1"/>
  <c r="T1014" i="48"/>
  <c r="S1010" i="48"/>
  <c r="S586" i="48" s="1"/>
  <c r="S1005" i="48"/>
  <c r="S581" i="48" s="1"/>
  <c r="S1009" i="48"/>
  <c r="T1009" i="48"/>
  <c r="T1000" i="48"/>
  <c r="S1001" i="48"/>
  <c r="S577" i="48" s="1"/>
  <c r="T997" i="48"/>
  <c r="T1006" i="48"/>
  <c r="T1015" i="48"/>
  <c r="T1017" i="48"/>
  <c r="S1006" i="48"/>
  <c r="S582" i="48" s="1"/>
  <c r="S1018" i="48"/>
  <c r="S594" i="48" s="1"/>
  <c r="S34" i="50" s="1"/>
  <c r="S1011" i="48"/>
  <c r="T1001" i="48"/>
  <c r="T1011" i="48"/>
  <c r="T1018" i="48"/>
  <c r="S997" i="48"/>
  <c r="S1015" i="48"/>
  <c r="S591" i="48" s="1"/>
  <c r="S1017" i="48"/>
  <c r="S593" i="48" s="1"/>
  <c r="T1005" i="48"/>
  <c r="U996" i="48"/>
  <c r="U1014" i="48"/>
  <c r="U1009" i="48"/>
  <c r="V1004" i="48"/>
  <c r="V1017" i="48"/>
  <c r="U1011" i="48"/>
  <c r="U1017" i="48"/>
  <c r="U1018" i="48"/>
  <c r="V1010" i="48"/>
  <c r="U1004" i="48"/>
  <c r="V1000" i="48"/>
  <c r="V1001" i="48"/>
  <c r="U1006" i="48"/>
  <c r="T1010" i="48"/>
  <c r="V1006" i="48"/>
  <c r="U997" i="48"/>
  <c r="U1015" i="48"/>
  <c r="V1005" i="48"/>
  <c r="V1011" i="48"/>
  <c r="U1001" i="48"/>
  <c r="W1009" i="48"/>
  <c r="W1014" i="48"/>
  <c r="W1017" i="48"/>
  <c r="W1018" i="48"/>
  <c r="AA1006" i="48"/>
  <c r="Z1001" i="48"/>
  <c r="Y997" i="48"/>
  <c r="Y1015" i="48"/>
  <c r="X1011" i="48"/>
  <c r="U1010" i="48"/>
  <c r="U1005" i="48"/>
  <c r="V996" i="48"/>
  <c r="V1015" i="48"/>
  <c r="W1000" i="48"/>
  <c r="W997" i="48"/>
  <c r="W1006" i="48"/>
  <c r="W1015" i="48"/>
  <c r="W1005" i="48"/>
  <c r="AA1011" i="48"/>
  <c r="Z1006" i="48"/>
  <c r="Y1001" i="48"/>
  <c r="X997" i="48"/>
  <c r="X1015" i="48"/>
  <c r="V1009" i="48"/>
  <c r="V1014" i="48"/>
  <c r="V997" i="48"/>
  <c r="V1018" i="48"/>
  <c r="AA1015" i="48"/>
  <c r="Z1011" i="48"/>
  <c r="Y1006" i="48"/>
  <c r="X1001" i="48"/>
  <c r="U1000" i="48"/>
  <c r="W996" i="48"/>
  <c r="W1004" i="48"/>
  <c r="W1001" i="48"/>
  <c r="W1011" i="48"/>
  <c r="W1010" i="48"/>
  <c r="AA997" i="48"/>
  <c r="AA1001" i="48"/>
  <c r="Z997" i="48"/>
  <c r="Z1015" i="48"/>
  <c r="Y1011" i="48"/>
  <c r="X1006" i="48"/>
  <c r="X1009" i="48"/>
  <c r="AB1009" i="48"/>
  <c r="Z1020" i="48"/>
  <c r="X1020" i="48"/>
  <c r="V1020" i="48"/>
  <c r="AB996" i="48"/>
  <c r="Y1017" i="48"/>
  <c r="AA996" i="48"/>
  <c r="AB1018" i="48"/>
  <c r="AC1001" i="48"/>
  <c r="AC1005" i="48"/>
  <c r="AB1017" i="48"/>
  <c r="X1004" i="48"/>
  <c r="AD1006" i="48"/>
  <c r="Y1004" i="48"/>
  <c r="AC1011" i="48"/>
  <c r="AC1000" i="48"/>
  <c r="X1017" i="48"/>
  <c r="AB1005" i="48"/>
  <c r="AC1015" i="48"/>
  <c r="AD1004" i="48"/>
  <c r="Z1010" i="48"/>
  <c r="AC1010" i="48"/>
  <c r="Y1010" i="48"/>
  <c r="AB1020" i="48"/>
  <c r="AB1000" i="48"/>
  <c r="Y996" i="48"/>
  <c r="X1014" i="48"/>
  <c r="AC997" i="48"/>
  <c r="Z1000" i="48"/>
  <c r="AC1017" i="48"/>
  <c r="Y1014" i="48"/>
  <c r="AD1018" i="48"/>
  <c r="X1000" i="48"/>
  <c r="AB997" i="48"/>
  <c r="Y1000" i="48"/>
  <c r="X1018" i="48"/>
  <c r="AC1014" i="48"/>
  <c r="AD997" i="48"/>
  <c r="Z1014" i="48"/>
  <c r="AA1018" i="48"/>
  <c r="AD1000" i="48"/>
  <c r="AD1009" i="48"/>
  <c r="Y1009" i="48"/>
  <c r="AC1009" i="48"/>
  <c r="AA1009" i="48"/>
  <c r="Y1005" i="48"/>
  <c r="AB1004" i="48"/>
  <c r="AB1014" i="48"/>
  <c r="Y1018" i="48"/>
  <c r="AC1004" i="48"/>
  <c r="Z1018" i="48"/>
  <c r="Y1020" i="48"/>
  <c r="AD1001" i="48"/>
  <c r="AB1011" i="48"/>
  <c r="AA1014" i="48"/>
  <c r="AD1015" i="48"/>
  <c r="Z1017" i="48"/>
  <c r="X1005" i="48"/>
  <c r="AB1001" i="48"/>
  <c r="AC1018" i="48"/>
  <c r="AD1014" i="48"/>
  <c r="S1020" i="48"/>
  <c r="AD996" i="48"/>
  <c r="AA1010" i="48"/>
  <c r="AB1010" i="48"/>
  <c r="X1010" i="48"/>
  <c r="AD1010" i="48"/>
  <c r="AD1020" i="48"/>
  <c r="AA1020" i="48"/>
  <c r="Z1009" i="48"/>
  <c r="X996" i="48"/>
  <c r="AA1004" i="48"/>
  <c r="Z996" i="48"/>
  <c r="AC1006" i="48"/>
  <c r="AB1006" i="48"/>
  <c r="AB1015" i="48"/>
  <c r="AC996" i="48"/>
  <c r="AD1017" i="48"/>
  <c r="AA1005" i="48"/>
  <c r="U1020" i="48"/>
  <c r="Z1005" i="48"/>
  <c r="AA1017" i="48"/>
  <c r="AA1000" i="48"/>
  <c r="W1020" i="48"/>
  <c r="T1020" i="48"/>
  <c r="AD1011" i="48"/>
  <c r="Z1004" i="48"/>
  <c r="AD1005" i="48"/>
  <c r="AC1020" i="48"/>
  <c r="Y26" i="47"/>
  <c r="AC184" i="45"/>
  <c r="AC122" i="45" s="1"/>
  <c r="R75" i="45"/>
  <c r="R38" i="45"/>
  <c r="R37" i="45" s="1"/>
  <c r="R221" i="45" s="1"/>
  <c r="I22" i="50"/>
  <c r="F32" i="79"/>
  <c r="I125" i="50"/>
  <c r="I20" i="50"/>
  <c r="J20" i="50" s="1"/>
  <c r="Q58" i="48"/>
  <c r="G17" i="81"/>
  <c r="G54" i="81"/>
  <c r="M65" i="45"/>
  <c r="M104" i="45"/>
  <c r="V90" i="48"/>
  <c r="O28" i="45"/>
  <c r="O103" i="45" s="1"/>
  <c r="U179" i="48"/>
  <c r="V170" i="48"/>
  <c r="V235" i="48"/>
  <c r="W233" i="48"/>
  <c r="E621" i="48"/>
  <c r="G57" i="80"/>
  <c r="G59" i="80"/>
  <c r="G71" i="80" s="1"/>
  <c r="G67" i="80"/>
  <c r="Q66" i="45"/>
  <c r="Q29" i="45"/>
  <c r="Q28" i="45" s="1"/>
  <c r="N23" i="48"/>
  <c r="N24" i="48"/>
  <c r="N22" i="48"/>
  <c r="N452" i="48" s="1"/>
  <c r="N451" i="48" s="1"/>
  <c r="N27" i="48"/>
  <c r="N26" i="48" s="1"/>
  <c r="N397" i="48" s="1"/>
  <c r="N428" i="48" s="1"/>
  <c r="N25" i="48"/>
  <c r="N509" i="48" s="1"/>
  <c r="N28" i="48"/>
  <c r="N21" i="48"/>
  <c r="P68" i="45"/>
  <c r="L651" i="48"/>
  <c r="L587" i="48" s="1"/>
  <c r="L17" i="50" s="1"/>
  <c r="L19" i="50" s="1"/>
  <c r="M681" i="48"/>
  <c r="O741" i="48"/>
  <c r="Q801" i="48"/>
  <c r="P771" i="48"/>
  <c r="N711" i="48"/>
  <c r="R831" i="48"/>
  <c r="L631" i="48"/>
  <c r="S861" i="48"/>
  <c r="T891" i="48"/>
  <c r="U921" i="48"/>
  <c r="V951" i="48"/>
  <c r="T86" i="45"/>
  <c r="R629" i="48"/>
  <c r="X376" i="48"/>
  <c r="X373" i="48"/>
  <c r="X375" i="48"/>
  <c r="X377" i="48"/>
  <c r="X513" i="48" s="1"/>
  <c r="X379" i="48"/>
  <c r="X378" i="48" s="1"/>
  <c r="X374" i="48"/>
  <c r="X456" i="48" s="1"/>
  <c r="X380" i="48"/>
  <c r="V119" i="45"/>
  <c r="Q15" i="46"/>
  <c r="P13" i="45"/>
  <c r="P219" i="45" s="1"/>
  <c r="J36" i="80"/>
  <c r="AC990" i="48"/>
  <c r="V981" i="48"/>
  <c r="S573" i="48"/>
  <c r="S585" i="48"/>
  <c r="X27" i="45" s="1"/>
  <c r="L493" i="48"/>
  <c r="F23" i="79"/>
  <c r="I120" i="50"/>
  <c r="L71" i="45"/>
  <c r="L110" i="45"/>
  <c r="W77" i="48"/>
  <c r="W79" i="48" s="1"/>
  <c r="X73" i="48"/>
  <c r="X75" i="48" s="1"/>
  <c r="F31" i="79"/>
  <c r="I124" i="50"/>
  <c r="I14" i="50"/>
  <c r="O44" i="45"/>
  <c r="O134" i="45"/>
  <c r="O82" i="45"/>
  <c r="M587" i="48" l="1"/>
  <c r="M17" i="50" s="1"/>
  <c r="M19" i="50" s="1"/>
  <c r="J32" i="79" s="1"/>
  <c r="S33" i="50"/>
  <c r="S35" i="50" s="1"/>
  <c r="X73" i="45"/>
  <c r="X30" i="45"/>
  <c r="X67" i="45" s="1"/>
  <c r="X105" i="45" s="1"/>
  <c r="X64" i="45"/>
  <c r="X102" i="45" s="1"/>
  <c r="X36" i="45"/>
  <c r="H32" i="79"/>
  <c r="K125" i="50"/>
  <c r="G9" i="1"/>
  <c r="O538" i="48"/>
  <c r="X39" i="45"/>
  <c r="X76" i="45" s="1"/>
  <c r="X114" i="45" s="1"/>
  <c r="I32" i="79"/>
  <c r="L125" i="50"/>
  <c r="M125" i="50"/>
  <c r="X492" i="48"/>
  <c r="X498" i="48"/>
  <c r="N508" i="48"/>
  <c r="AA83" i="45"/>
  <c r="AA329" i="48"/>
  <c r="AA331" i="48" s="1"/>
  <c r="Z331" i="48"/>
  <c r="Y206" i="48"/>
  <c r="X207" i="48"/>
  <c r="G58" i="80"/>
  <c r="F73" i="80"/>
  <c r="O15" i="48"/>
  <c r="O108" i="45"/>
  <c r="O68" i="45"/>
  <c r="Y83" i="48"/>
  <c r="Z74" i="48"/>
  <c r="Z78" i="48"/>
  <c r="N109" i="45"/>
  <c r="N136" i="45"/>
  <c r="N147" i="45" s="1"/>
  <c r="N100" i="45"/>
  <c r="N133" i="45"/>
  <c r="N144" i="45" s="1"/>
  <c r="P84" i="45"/>
  <c r="P45" i="45"/>
  <c r="M109" i="50"/>
  <c r="Y379" i="48"/>
  <c r="Y373" i="48"/>
  <c r="Y375" i="48"/>
  <c r="Y374" i="48"/>
  <c r="Y456" i="48" s="1"/>
  <c r="Y380" i="48"/>
  <c r="Y376" i="48"/>
  <c r="Y377" i="48"/>
  <c r="Y513" i="48" s="1"/>
  <c r="L226" i="45"/>
  <c r="L103" i="45"/>
  <c r="L134" i="45"/>
  <c r="L145" i="45" s="1"/>
  <c r="P55" i="45"/>
  <c r="P203" i="45"/>
  <c r="M427" i="48"/>
  <c r="M398" i="48"/>
  <c r="M429" i="48" s="1"/>
  <c r="Q135" i="45"/>
  <c r="Q146" i="45" s="1"/>
  <c r="Q106" i="45"/>
  <c r="D1054" i="48"/>
  <c r="C1084" i="48"/>
  <c r="E1054" i="48"/>
  <c r="W489" i="48"/>
  <c r="W495" i="48"/>
  <c r="S587" i="48"/>
  <c r="S17" i="50" s="1"/>
  <c r="P587" i="48"/>
  <c r="P17" i="50" s="1"/>
  <c r="P19" i="50" s="1"/>
  <c r="K133" i="50"/>
  <c r="K103" i="50" s="1"/>
  <c r="J102" i="50"/>
  <c r="P6" i="45"/>
  <c r="P5" i="46"/>
  <c r="T169" i="48"/>
  <c r="S171" i="48"/>
  <c r="H58" i="81"/>
  <c r="T490" i="48"/>
  <c r="T496" i="48"/>
  <c r="R68" i="45"/>
  <c r="R107" i="45"/>
  <c r="O201" i="45"/>
  <c r="O212" i="45"/>
  <c r="O194" i="45"/>
  <c r="O216" i="45"/>
  <c r="Z26" i="47"/>
  <c r="AE184" i="45" s="1"/>
  <c r="AD184" i="45"/>
  <c r="AD122" i="45" s="1"/>
  <c r="L228" i="45"/>
  <c r="L109" i="45"/>
  <c r="L136" i="45"/>
  <c r="L147" i="45" s="1"/>
  <c r="Q15" i="45"/>
  <c r="Q53" i="45" s="1"/>
  <c r="Q13" i="46"/>
  <c r="S689" i="48"/>
  <c r="S595" i="48" s="1"/>
  <c r="R659" i="48"/>
  <c r="R595" i="48" s="1"/>
  <c r="V779" i="48"/>
  <c r="T719" i="48"/>
  <c r="W809" i="48"/>
  <c r="U749" i="48"/>
  <c r="X839" i="48"/>
  <c r="Y869" i="48"/>
  <c r="Z899" i="48"/>
  <c r="AA929" i="48"/>
  <c r="AB959" i="48"/>
  <c r="AC989" i="48"/>
  <c r="P135" i="45"/>
  <c r="P146" i="45" s="1"/>
  <c r="P106" i="45"/>
  <c r="H55" i="80"/>
  <c r="G69" i="80"/>
  <c r="H17" i="81"/>
  <c r="R74" i="45"/>
  <c r="R112" i="45" s="1"/>
  <c r="R113" i="45"/>
  <c r="AD1019" i="48"/>
  <c r="X38" i="47"/>
  <c r="AB46" i="45"/>
  <c r="O109" i="45"/>
  <c r="O136" i="45"/>
  <c r="O147" i="45" s="1"/>
  <c r="T51" i="48"/>
  <c r="U42" i="48"/>
  <c r="T43" i="48"/>
  <c r="U46" i="48"/>
  <c r="U47" i="48" s="1"/>
  <c r="O112" i="45"/>
  <c r="L210" i="45"/>
  <c r="L205" i="45"/>
  <c r="L231" i="45"/>
  <c r="L112" i="45"/>
  <c r="P88" i="45"/>
  <c r="P137" i="45"/>
  <c r="P148" i="45" s="1"/>
  <c r="R40" i="47"/>
  <c r="Q41" i="47"/>
  <c r="V49" i="45" s="1"/>
  <c r="X85" i="48"/>
  <c r="X87" i="48"/>
  <c r="X89" i="48"/>
  <c r="X510" i="48" s="1"/>
  <c r="X86" i="48"/>
  <c r="X453" i="48" s="1"/>
  <c r="X92" i="48"/>
  <c r="X88" i="48"/>
  <c r="X91" i="48"/>
  <c r="G32" i="79"/>
  <c r="J125" i="50"/>
  <c r="J115" i="50"/>
  <c r="I118" i="50"/>
  <c r="I119" i="50" s="1"/>
  <c r="T183" i="56"/>
  <c r="S184" i="56"/>
  <c r="W183" i="56"/>
  <c r="X183" i="56" s="1"/>
  <c r="N108" i="45"/>
  <c r="N68" i="45"/>
  <c r="R29" i="45"/>
  <c r="R28" i="45" s="1"/>
  <c r="R66" i="45"/>
  <c r="W474" i="48"/>
  <c r="W468" i="48"/>
  <c r="O587" i="48"/>
  <c r="O17" i="50" s="1"/>
  <c r="O19" i="50" s="1"/>
  <c r="Y23" i="47"/>
  <c r="AC181" i="45"/>
  <c r="U238" i="48"/>
  <c r="T239" i="48"/>
  <c r="S596" i="48"/>
  <c r="S597" i="48" s="1"/>
  <c r="H19" i="81"/>
  <c r="M112" i="45"/>
  <c r="T439" i="48"/>
  <c r="T180" i="48"/>
  <c r="T408" i="48" s="1"/>
  <c r="T410" i="48" s="1"/>
  <c r="M194" i="45"/>
  <c r="M216" i="45"/>
  <c r="N24" i="45"/>
  <c r="N215" i="45"/>
  <c r="N169" i="45"/>
  <c r="M61" i="45"/>
  <c r="M133" i="45"/>
  <c r="M144" i="45" s="1"/>
  <c r="M100" i="45"/>
  <c r="O61" i="45"/>
  <c r="O100" i="45"/>
  <c r="O133" i="45"/>
  <c r="O144" i="45" s="1"/>
  <c r="M109" i="45"/>
  <c r="M136" i="45"/>
  <c r="M147" i="45" s="1"/>
  <c r="J8" i="50"/>
  <c r="J13" i="50" s="1"/>
  <c r="J22" i="50" s="1"/>
  <c r="O81" i="45"/>
  <c r="G14" i="79" s="1"/>
  <c r="G10" i="79"/>
  <c r="X208" i="45"/>
  <c r="X477" i="48"/>
  <c r="X471" i="48"/>
  <c r="S32" i="45"/>
  <c r="S31" i="45" s="1"/>
  <c r="S217" i="45" s="1"/>
  <c r="S69" i="45"/>
  <c r="Q65" i="45"/>
  <c r="Q103" i="45" s="1"/>
  <c r="Q104" i="45"/>
  <c r="V179" i="48"/>
  <c r="W170" i="48"/>
  <c r="N114" i="45"/>
  <c r="N74" i="45"/>
  <c r="N112" i="45" s="1"/>
  <c r="N194" i="45"/>
  <c r="N216" i="45"/>
  <c r="S53" i="48"/>
  <c r="S57" i="48"/>
  <c r="S56" i="48"/>
  <c r="S55" i="48"/>
  <c r="S60" i="48"/>
  <c r="S54" i="48"/>
  <c r="S59" i="48"/>
  <c r="S58" i="48" s="1"/>
  <c r="L24" i="45"/>
  <c r="L215" i="45"/>
  <c r="L169" i="45"/>
  <c r="H60" i="81"/>
  <c r="H56" i="81"/>
  <c r="U86" i="45"/>
  <c r="P19" i="48"/>
  <c r="Q10" i="48"/>
  <c r="P11" i="48"/>
  <c r="P14" i="48"/>
  <c r="Y365" i="48"/>
  <c r="Y367" i="48" s="1"/>
  <c r="Y361" i="48"/>
  <c r="X363" i="48"/>
  <c r="L216" i="45"/>
  <c r="L194" i="45"/>
  <c r="Z340" i="48"/>
  <c r="I41" i="80"/>
  <c r="R12" i="46"/>
  <c r="Q10" i="45"/>
  <c r="R25" i="45"/>
  <c r="P5" i="81"/>
  <c r="P45" i="79"/>
  <c r="M95" i="50"/>
  <c r="M97" i="50" s="1"/>
  <c r="M101" i="50"/>
  <c r="N99" i="50"/>
  <c r="O99" i="50" s="1"/>
  <c r="P99" i="50" s="1"/>
  <c r="M100" i="50"/>
  <c r="Q540" i="48"/>
  <c r="S540" i="48" s="1"/>
  <c r="T540" i="48" s="1"/>
  <c r="G23" i="79"/>
  <c r="J120" i="50"/>
  <c r="M106" i="45"/>
  <c r="M135" i="45"/>
  <c r="M146" i="45" s="1"/>
  <c r="P28" i="45"/>
  <c r="P206" i="45"/>
  <c r="P205" i="45" s="1"/>
  <c r="P201" i="45" s="1"/>
  <c r="AA343" i="48"/>
  <c r="AA344" i="48"/>
  <c r="AA347" i="48"/>
  <c r="AA342" i="48"/>
  <c r="AA341" i="48"/>
  <c r="AA348" i="48"/>
  <c r="AA345" i="48"/>
  <c r="T174" i="48"/>
  <c r="S175" i="48"/>
  <c r="M24" i="45"/>
  <c r="M215" i="45"/>
  <c r="M169" i="45"/>
  <c r="L13" i="81"/>
  <c r="K11" i="81"/>
  <c r="AA1049" i="48"/>
  <c r="V1049" i="48"/>
  <c r="Y1049" i="48"/>
  <c r="X1049" i="48"/>
  <c r="AB1049" i="48"/>
  <c r="W1049" i="48"/>
  <c r="U1049" i="48"/>
  <c r="Z1049" i="48"/>
  <c r="T1049" i="48"/>
  <c r="AC1049" i="48"/>
  <c r="AE1049" i="48"/>
  <c r="AD1049" i="48"/>
  <c r="T1039" i="48"/>
  <c r="T585" i="48" s="1"/>
  <c r="T1030" i="48"/>
  <c r="T576" i="48" s="1"/>
  <c r="T1044" i="48"/>
  <c r="T590" i="48" s="1"/>
  <c r="T1034" i="48"/>
  <c r="T580" i="48" s="1"/>
  <c r="T1026" i="48"/>
  <c r="T572" i="48" s="1"/>
  <c r="T1027" i="48"/>
  <c r="T573" i="48" s="1"/>
  <c r="T1036" i="48"/>
  <c r="T582" i="48" s="1"/>
  <c r="T1045" i="48"/>
  <c r="T591" i="48" s="1"/>
  <c r="T1047" i="48"/>
  <c r="T593" i="48" s="1"/>
  <c r="T33" i="50" s="1"/>
  <c r="T1031" i="48"/>
  <c r="T577" i="48" s="1"/>
  <c r="T1041" i="48"/>
  <c r="T1048" i="48"/>
  <c r="T594" i="48" s="1"/>
  <c r="T34" i="50" s="1"/>
  <c r="V1041" i="48"/>
  <c r="V1045" i="48"/>
  <c r="U1027" i="48"/>
  <c r="U1045" i="48"/>
  <c r="V1035" i="48"/>
  <c r="T1035" i="48"/>
  <c r="T581" i="48" s="1"/>
  <c r="U1026" i="48"/>
  <c r="U1044" i="48"/>
  <c r="U1039" i="48"/>
  <c r="V1034" i="48"/>
  <c r="V1036" i="48"/>
  <c r="V1048" i="48"/>
  <c r="U1041" i="48"/>
  <c r="U1047" i="48"/>
  <c r="U1048" i="48"/>
  <c r="V1040" i="48"/>
  <c r="T1040" i="48"/>
  <c r="T586" i="48" s="1"/>
  <c r="U1040" i="48"/>
  <c r="U1030" i="48"/>
  <c r="U1035" i="48"/>
  <c r="V1039" i="48"/>
  <c r="V1026" i="48"/>
  <c r="V1044" i="48"/>
  <c r="V1027" i="48"/>
  <c r="V1047" i="48"/>
  <c r="U1031" i="48"/>
  <c r="V1031" i="48"/>
  <c r="U1036" i="48"/>
  <c r="W1026" i="48"/>
  <c r="W1034" i="48"/>
  <c r="W1031" i="48"/>
  <c r="W1041" i="48"/>
  <c r="W1040" i="48"/>
  <c r="AA1027" i="48"/>
  <c r="AA1031" i="48"/>
  <c r="Z1027" i="48"/>
  <c r="Z1045" i="48"/>
  <c r="Y1041" i="48"/>
  <c r="X1036" i="48"/>
  <c r="V1030" i="48"/>
  <c r="W1039" i="48"/>
  <c r="W1044" i="48"/>
  <c r="W1047" i="48"/>
  <c r="W1048" i="48"/>
  <c r="AA1036" i="48"/>
  <c r="Z1031" i="48"/>
  <c r="Y1027" i="48"/>
  <c r="Y1045" i="48"/>
  <c r="X1041" i="48"/>
  <c r="U1034" i="48"/>
  <c r="W1030" i="48"/>
  <c r="W1027" i="48"/>
  <c r="W1036" i="48"/>
  <c r="W1045" i="48"/>
  <c r="W1035" i="48"/>
  <c r="AA1041" i="48"/>
  <c r="Z1036" i="48"/>
  <c r="Y1031" i="48"/>
  <c r="X1027" i="48"/>
  <c r="X1045" i="48"/>
  <c r="AA1045" i="48"/>
  <c r="Z1041" i="48"/>
  <c r="Y1036" i="48"/>
  <c r="X1031" i="48"/>
  <c r="AD1026" i="48"/>
  <c r="Z1044" i="48"/>
  <c r="Y1030" i="48"/>
  <c r="AA1044" i="48"/>
  <c r="AD1047" i="48"/>
  <c r="AA1035" i="48"/>
  <c r="AC1045" i="48"/>
  <c r="Z1047" i="48"/>
  <c r="Y1035" i="48"/>
  <c r="AE1026" i="48"/>
  <c r="AD1045" i="48"/>
  <c r="AA1048" i="48"/>
  <c r="AC1036" i="48"/>
  <c r="AC1035" i="48"/>
  <c r="AE1034" i="48"/>
  <c r="AE1041" i="48"/>
  <c r="AD1036" i="48"/>
  <c r="AC1030" i="48"/>
  <c r="AB1041" i="48"/>
  <c r="Y1047" i="48"/>
  <c r="X1034" i="48"/>
  <c r="AA1050" i="48"/>
  <c r="AA1039" i="48"/>
  <c r="AB1039" i="48"/>
  <c r="AA1040" i="48"/>
  <c r="AE1040" i="48"/>
  <c r="AC1040" i="48"/>
  <c r="AA1030" i="48"/>
  <c r="X1030" i="48"/>
  <c r="AB1044" i="48"/>
  <c r="AD1044" i="48"/>
  <c r="AD1041" i="48"/>
  <c r="AB1034" i="48"/>
  <c r="X1050" i="48"/>
  <c r="AC1027" i="48"/>
  <c r="W1050" i="48"/>
  <c r="X1047" i="48"/>
  <c r="T1050" i="48"/>
  <c r="T596" i="48" s="1"/>
  <c r="T597" i="48" s="1"/>
  <c r="AE1045" i="48"/>
  <c r="AD1048" i="48"/>
  <c r="X1044" i="48"/>
  <c r="AB1031" i="48"/>
  <c r="AC1041" i="48"/>
  <c r="AA1034" i="48"/>
  <c r="AE1035" i="48"/>
  <c r="AC1048" i="48"/>
  <c r="AB1027" i="48"/>
  <c r="AC1044" i="48"/>
  <c r="X1039" i="48"/>
  <c r="AB1050" i="48"/>
  <c r="AB1040" i="48"/>
  <c r="Y1040" i="48"/>
  <c r="X1040" i="48"/>
  <c r="AD1034" i="48"/>
  <c r="AB1030" i="48"/>
  <c r="AD1030" i="48"/>
  <c r="AE1044" i="48"/>
  <c r="AE1047" i="48"/>
  <c r="Y1026" i="48"/>
  <c r="AC1026" i="48"/>
  <c r="AE1036" i="48"/>
  <c r="X1035" i="48"/>
  <c r="AC1031" i="48"/>
  <c r="X1026" i="48"/>
  <c r="Y1048" i="48"/>
  <c r="AB1045" i="48"/>
  <c r="AC1034" i="48"/>
  <c r="AB1035" i="48"/>
  <c r="AB1048" i="48"/>
  <c r="Z1035" i="48"/>
  <c r="AB1036" i="48"/>
  <c r="AC1047" i="48"/>
  <c r="Z1034" i="48"/>
  <c r="Y1034" i="48"/>
  <c r="AE1039" i="48"/>
  <c r="AC1039" i="48"/>
  <c r="Z1040" i="48"/>
  <c r="AD1050" i="48"/>
  <c r="Z1030" i="48"/>
  <c r="Z1050" i="48"/>
  <c r="AD1035" i="48"/>
  <c r="V1050" i="48"/>
  <c r="AD1031" i="48"/>
  <c r="Z1048" i="48"/>
  <c r="AE1031" i="48"/>
  <c r="U1050" i="48"/>
  <c r="Y1050" i="48"/>
  <c r="X1048" i="48"/>
  <c r="Z1026" i="48"/>
  <c r="AE1048" i="48"/>
  <c r="AE1027" i="48"/>
  <c r="AE1030" i="48"/>
  <c r="AD1027" i="48"/>
  <c r="AA1047" i="48"/>
  <c r="AA1026" i="48"/>
  <c r="Y1044" i="48"/>
  <c r="AB1047" i="48"/>
  <c r="AB1026" i="48"/>
  <c r="Y1039" i="48"/>
  <c r="Z1039" i="48"/>
  <c r="AD1039" i="48"/>
  <c r="AD1040" i="48"/>
  <c r="AC1050" i="48"/>
  <c r="AE1050" i="48"/>
  <c r="P538" i="48"/>
  <c r="Q587" i="48"/>
  <c r="Q17" i="50" s="1"/>
  <c r="Q19" i="50" s="1"/>
  <c r="N587" i="48"/>
  <c r="N17" i="50" s="1"/>
  <c r="N19" i="50" s="1"/>
  <c r="P133" i="45"/>
  <c r="P144" i="45" s="1"/>
  <c r="P100" i="45"/>
  <c r="G68" i="81"/>
  <c r="M536" i="48"/>
  <c r="M535" i="48" s="1"/>
  <c r="Q9" i="45"/>
  <c r="Q7" i="46"/>
  <c r="Q26" i="45"/>
  <c r="L62" i="45"/>
  <c r="R540" i="48"/>
  <c r="H55" i="81"/>
  <c r="T469" i="48"/>
  <c r="T475" i="48"/>
  <c r="R35" i="45"/>
  <c r="R34" i="45" s="1"/>
  <c r="M110" i="50"/>
  <c r="N212" i="45"/>
  <c r="N205" i="45"/>
  <c r="N467" i="48"/>
  <c r="N466" i="48" s="1"/>
  <c r="S35" i="45" s="1"/>
  <c r="S34" i="45" s="1"/>
  <c r="N473" i="48"/>
  <c r="Q63" i="45"/>
  <c r="Y73" i="48"/>
  <c r="Y75" i="48" s="1"/>
  <c r="X77" i="48"/>
  <c r="X79" i="48" s="1"/>
  <c r="W119" i="45"/>
  <c r="N437" i="48"/>
  <c r="N436" i="48" s="1"/>
  <c r="N20" i="48"/>
  <c r="N396" i="48" s="1"/>
  <c r="O440" i="48"/>
  <c r="O145" i="45"/>
  <c r="K34" i="80"/>
  <c r="J38" i="80"/>
  <c r="X372" i="48"/>
  <c r="N488" i="48"/>
  <c r="N487" i="48" s="1"/>
  <c r="S26" i="45" s="1"/>
  <c r="N494" i="48"/>
  <c r="W235" i="48"/>
  <c r="X233" i="48"/>
  <c r="U184" i="48"/>
  <c r="U188" i="48"/>
  <c r="U181" i="48"/>
  <c r="U183" i="48"/>
  <c r="U185" i="48"/>
  <c r="U511" i="48" s="1"/>
  <c r="D511" i="48" s="1"/>
  <c r="U187" i="48"/>
  <c r="U186" i="48" s="1"/>
  <c r="U409" i="48" s="1"/>
  <c r="U182" i="48"/>
  <c r="U454" i="48" s="1"/>
  <c r="D454" i="48" s="1"/>
  <c r="M103" i="45"/>
  <c r="M134" i="45"/>
  <c r="M145" i="45" s="1"/>
  <c r="K20" i="50"/>
  <c r="L20" i="50" s="1"/>
  <c r="M20" i="50" s="1"/>
  <c r="N20" i="50" s="1"/>
  <c r="O20" i="50" s="1"/>
  <c r="P20" i="50" s="1"/>
  <c r="F33" i="79"/>
  <c r="I23" i="50"/>
  <c r="H44" i="80"/>
  <c r="N105" i="45"/>
  <c r="N65" i="45"/>
  <c r="Q108" i="50"/>
  <c r="U270" i="48"/>
  <c r="T271" i="48"/>
  <c r="O28" i="48"/>
  <c r="O24" i="48"/>
  <c r="O21" i="48"/>
  <c r="O22" i="48"/>
  <c r="O452" i="48" s="1"/>
  <c r="O451" i="48" s="1"/>
  <c r="O23" i="48"/>
  <c r="O27" i="48"/>
  <c r="O25" i="48"/>
  <c r="O509" i="48" s="1"/>
  <c r="O508" i="48" s="1"/>
  <c r="P112" i="45"/>
  <c r="Z346" i="48"/>
  <c r="Q87" i="45"/>
  <c r="Q48" i="45"/>
  <c r="R62" i="45"/>
  <c r="R101" i="45"/>
  <c r="P136" i="45"/>
  <c r="P147" i="45" s="1"/>
  <c r="F70" i="81"/>
  <c r="G70" i="81" s="1"/>
  <c r="E67" i="81"/>
  <c r="K114" i="50"/>
  <c r="J117" i="50"/>
  <c r="P154" i="45" s="1"/>
  <c r="Z371" i="48"/>
  <c r="AA362" i="48"/>
  <c r="AA366" i="48"/>
  <c r="P65" i="45"/>
  <c r="P103" i="45" s="1"/>
  <c r="P104" i="45"/>
  <c r="I37" i="80"/>
  <c r="R52" i="48"/>
  <c r="W84" i="48"/>
  <c r="O91" i="45"/>
  <c r="O138" i="45"/>
  <c r="O149" i="45" s="1"/>
  <c r="T587" i="48"/>
  <c r="R587" i="48"/>
  <c r="K535" i="48"/>
  <c r="P194" i="45"/>
  <c r="P216" i="45"/>
  <c r="N111" i="50"/>
  <c r="Q112" i="45"/>
  <c r="H59" i="81"/>
  <c r="R110" i="48"/>
  <c r="Q111" i="48"/>
  <c r="Q537" i="48"/>
  <c r="M205" i="45"/>
  <c r="R71" i="45"/>
  <c r="R109" i="45" s="1"/>
  <c r="P24" i="45"/>
  <c r="P215" i="45"/>
  <c r="P169" i="45"/>
  <c r="O24" i="45"/>
  <c r="O215" i="45"/>
  <c r="O169" i="45"/>
  <c r="S127" i="50" l="1"/>
  <c r="S36" i="50"/>
  <c r="P37" i="79"/>
  <c r="H70" i="81"/>
  <c r="J23" i="50"/>
  <c r="X111" i="45"/>
  <c r="Y36" i="45"/>
  <c r="Y39" i="45"/>
  <c r="Y76" i="45" s="1"/>
  <c r="Y114" i="45" s="1"/>
  <c r="L133" i="50"/>
  <c r="L103" i="50"/>
  <c r="K102" i="50"/>
  <c r="N32" i="79"/>
  <c r="Q125" i="50"/>
  <c r="Y73" i="45"/>
  <c r="Y33" i="45"/>
  <c r="Y70" i="45" s="1"/>
  <c r="Y108" i="45" s="1"/>
  <c r="Y64" i="45"/>
  <c r="T35" i="50"/>
  <c r="Y30" i="45"/>
  <c r="Y67" i="45" s="1"/>
  <c r="Y105" i="45" s="1"/>
  <c r="Y27" i="45"/>
  <c r="R111" i="48"/>
  <c r="S110" i="48"/>
  <c r="R537" i="48"/>
  <c r="Z375" i="48"/>
  <c r="Z377" i="48"/>
  <c r="Z513" i="48" s="1"/>
  <c r="Z379" i="48"/>
  <c r="Z374" i="48"/>
  <c r="Z456" i="48" s="1"/>
  <c r="Z373" i="48"/>
  <c r="Z376" i="48"/>
  <c r="Z380" i="48"/>
  <c r="T32" i="45"/>
  <c r="T31" i="45" s="1"/>
  <c r="T217" i="45" s="1"/>
  <c r="T69" i="45"/>
  <c r="H47" i="80"/>
  <c r="Q20" i="50"/>
  <c r="N493" i="48"/>
  <c r="N427" i="48"/>
  <c r="N398" i="48"/>
  <c r="N429" i="48" s="1"/>
  <c r="L61" i="45"/>
  <c r="L100" i="45"/>
  <c r="L133" i="45"/>
  <c r="L144" i="45" s="1"/>
  <c r="L225" i="45"/>
  <c r="Q47" i="45"/>
  <c r="Q204" i="45"/>
  <c r="E52" i="81"/>
  <c r="E51" i="81" s="1"/>
  <c r="E7" i="79"/>
  <c r="E10" i="81"/>
  <c r="M5" i="45"/>
  <c r="AA346" i="48"/>
  <c r="Q218" i="45"/>
  <c r="Q172" i="45"/>
  <c r="Z361" i="48"/>
  <c r="Z365" i="48"/>
  <c r="Z367" i="48" s="1"/>
  <c r="Y363" i="48"/>
  <c r="Q19" i="48"/>
  <c r="R10" i="48"/>
  <c r="Q11" i="48"/>
  <c r="Q14" i="48"/>
  <c r="D7" i="79"/>
  <c r="F5" i="1"/>
  <c r="L5" i="45"/>
  <c r="O99" i="45"/>
  <c r="G15" i="79" s="1"/>
  <c r="G11" i="79"/>
  <c r="E11" i="79"/>
  <c r="M99" i="45"/>
  <c r="E15" i="79" s="1"/>
  <c r="M43" i="45"/>
  <c r="V238" i="48"/>
  <c r="U239" i="48"/>
  <c r="L32" i="79"/>
  <c r="O125" i="50"/>
  <c r="R65" i="45"/>
  <c r="R103" i="45" s="1"/>
  <c r="R104" i="45"/>
  <c r="X84" i="48"/>
  <c r="S40" i="47"/>
  <c r="R41" i="47"/>
  <c r="W49" i="45" s="1"/>
  <c r="T53" i="48"/>
  <c r="T55" i="48"/>
  <c r="T57" i="48"/>
  <c r="T56" i="48"/>
  <c r="T54" i="48"/>
  <c r="T60" i="48"/>
  <c r="T59" i="48"/>
  <c r="T58" i="48" s="1"/>
  <c r="Y38" i="47"/>
  <c r="AC46" i="45"/>
  <c r="U595" i="48"/>
  <c r="Q51" i="45"/>
  <c r="Q90" i="45"/>
  <c r="R106" i="45"/>
  <c r="R135" i="45"/>
  <c r="R146" i="45" s="1"/>
  <c r="H14" i="81"/>
  <c r="P5" i="45"/>
  <c r="K9" i="50"/>
  <c r="I20" i="81" s="1"/>
  <c r="K10" i="50"/>
  <c r="H16" i="81" s="1"/>
  <c r="K12" i="50"/>
  <c r="H6" i="79"/>
  <c r="K11" i="50"/>
  <c r="AA1079" i="48"/>
  <c r="Z1079" i="48"/>
  <c r="X1079" i="48"/>
  <c r="W1079" i="48"/>
  <c r="V1079" i="48"/>
  <c r="Y1079" i="48"/>
  <c r="AE1079" i="48"/>
  <c r="U1079" i="48"/>
  <c r="AF1079" i="48"/>
  <c r="AB1079" i="48"/>
  <c r="AD1079" i="48"/>
  <c r="AC1079" i="48"/>
  <c r="U1060" i="48"/>
  <c r="U576" i="48" s="1"/>
  <c r="U1065" i="48"/>
  <c r="U581" i="48" s="1"/>
  <c r="V1069" i="48"/>
  <c r="V1056" i="48"/>
  <c r="V1074" i="48"/>
  <c r="V1061" i="48"/>
  <c r="V1078" i="48"/>
  <c r="U1061" i="48"/>
  <c r="U577" i="48" s="1"/>
  <c r="V1057" i="48"/>
  <c r="U1057" i="48"/>
  <c r="U573" i="48" s="1"/>
  <c r="U1075" i="48"/>
  <c r="U591" i="48" s="1"/>
  <c r="V1065" i="48"/>
  <c r="U1070" i="48"/>
  <c r="U586" i="48" s="1"/>
  <c r="U1074" i="48"/>
  <c r="U590" i="48" s="1"/>
  <c r="U1064" i="48"/>
  <c r="U580" i="48" s="1"/>
  <c r="V1060" i="48"/>
  <c r="V1066" i="48"/>
  <c r="U1066" i="48"/>
  <c r="U582" i="48" s="1"/>
  <c r="V1075" i="48"/>
  <c r="U1078" i="48"/>
  <c r="U594" i="48" s="1"/>
  <c r="U34" i="50" s="1"/>
  <c r="V1070" i="48"/>
  <c r="AA1066" i="48"/>
  <c r="AA1075" i="48"/>
  <c r="Z1071" i="48"/>
  <c r="Y1066" i="48"/>
  <c r="X1061" i="48"/>
  <c r="U1069" i="48"/>
  <c r="U585" i="48" s="1"/>
  <c r="U1071" i="48"/>
  <c r="U587" i="48" s="1"/>
  <c r="W1056" i="48"/>
  <c r="W1064" i="48"/>
  <c r="W1061" i="48"/>
  <c r="W1071" i="48"/>
  <c r="W1070" i="48"/>
  <c r="AA1057" i="48"/>
  <c r="AA1061" i="48"/>
  <c r="AA1071" i="48"/>
  <c r="Z1057" i="48"/>
  <c r="Z1075" i="48"/>
  <c r="Y1071" i="48"/>
  <c r="X1066" i="48"/>
  <c r="U1056" i="48"/>
  <c r="U572" i="48" s="1"/>
  <c r="V1064" i="48"/>
  <c r="W1069" i="48"/>
  <c r="W1074" i="48"/>
  <c r="W1077" i="48"/>
  <c r="W1078" i="48"/>
  <c r="Z1061" i="48"/>
  <c r="Y1057" i="48"/>
  <c r="Y1075" i="48"/>
  <c r="X1071" i="48"/>
  <c r="V1071" i="48"/>
  <c r="V1077" i="48"/>
  <c r="U1077" i="48"/>
  <c r="U593" i="48" s="1"/>
  <c r="U33" i="50" s="1"/>
  <c r="W1060" i="48"/>
  <c r="W1057" i="48"/>
  <c r="W1066" i="48"/>
  <c r="W1075" i="48"/>
  <c r="W1065" i="48"/>
  <c r="Z1066" i="48"/>
  <c r="Y1061" i="48"/>
  <c r="X1057" i="48"/>
  <c r="X1075" i="48"/>
  <c r="AE1080" i="48"/>
  <c r="AF1056" i="48"/>
  <c r="AA1077" i="48"/>
  <c r="V1080" i="48"/>
  <c r="AD1074" i="48"/>
  <c r="AE1061" i="48"/>
  <c r="AE1077" i="48"/>
  <c r="AA1078" i="48"/>
  <c r="AE1056" i="48"/>
  <c r="AD1069" i="48"/>
  <c r="AF1057" i="48"/>
  <c r="AB1056" i="48"/>
  <c r="AB1060" i="48"/>
  <c r="AB1071" i="48"/>
  <c r="AD1077" i="48"/>
  <c r="AC1064" i="48"/>
  <c r="X1064" i="48"/>
  <c r="X1060" i="48"/>
  <c r="AF1075" i="48"/>
  <c r="AA1065" i="48"/>
  <c r="Z1078" i="48"/>
  <c r="W1080" i="48"/>
  <c r="AB1078" i="48"/>
  <c r="Z1056" i="48"/>
  <c r="Y1069" i="48"/>
  <c r="Y1077" i="48"/>
  <c r="AC1074" i="48"/>
  <c r="AC1069" i="48"/>
  <c r="AC1070" i="48"/>
  <c r="AA1070" i="48"/>
  <c r="AF1080" i="48"/>
  <c r="AF1060" i="48"/>
  <c r="AD1071" i="48"/>
  <c r="Z1065" i="48"/>
  <c r="Y1060" i="48"/>
  <c r="AE1064" i="48"/>
  <c r="AB1057" i="48"/>
  <c r="U1080" i="48"/>
  <c r="U596" i="48" s="1"/>
  <c r="U597" i="48" s="1"/>
  <c r="AE1060" i="48"/>
  <c r="AB1061" i="48"/>
  <c r="AF1061" i="48"/>
  <c r="AD1060" i="48"/>
  <c r="AC1066" i="48"/>
  <c r="AC1071" i="48"/>
  <c r="AF1066" i="48"/>
  <c r="Z1080" i="48"/>
  <c r="Z1060" i="48"/>
  <c r="AD1075" i="48"/>
  <c r="AD1065" i="48"/>
  <c r="AF1074" i="48"/>
  <c r="AD1064" i="48"/>
  <c r="AD1057" i="48"/>
  <c r="AB1064" i="48"/>
  <c r="AB1074" i="48"/>
  <c r="AC1061" i="48"/>
  <c r="AB1065" i="48"/>
  <c r="AA1069" i="48"/>
  <c r="X1069" i="48"/>
  <c r="AF1070" i="48"/>
  <c r="Y1070" i="48"/>
  <c r="AD1080" i="48"/>
  <c r="AF1065" i="48"/>
  <c r="AB1075" i="48"/>
  <c r="AE1078" i="48"/>
  <c r="Y1064" i="48"/>
  <c r="AA1060" i="48"/>
  <c r="Y1078" i="48"/>
  <c r="AE1071" i="48"/>
  <c r="AA1064" i="48"/>
  <c r="AA1080" i="48"/>
  <c r="Z1077" i="48"/>
  <c r="AC1057" i="48"/>
  <c r="AC1060" i="48"/>
  <c r="Y1074" i="48"/>
  <c r="AE1066" i="48"/>
  <c r="AF1078" i="48"/>
  <c r="Y1065" i="48"/>
  <c r="Z1069" i="48"/>
  <c r="AB1077" i="48"/>
  <c r="AC1065" i="48"/>
  <c r="AE1074" i="48"/>
  <c r="AC1078" i="48"/>
  <c r="AE1057" i="48"/>
  <c r="Z1064" i="48"/>
  <c r="AE1065" i="48"/>
  <c r="AD1066" i="48"/>
  <c r="AA1074" i="48"/>
  <c r="AC1080" i="48"/>
  <c r="AD1070" i="48"/>
  <c r="X1070" i="48"/>
  <c r="AB1070" i="48"/>
  <c r="AF1064" i="48"/>
  <c r="X1078" i="48"/>
  <c r="AD1056" i="48"/>
  <c r="AF1069" i="48"/>
  <c r="X1077" i="48"/>
  <c r="AB1066" i="48"/>
  <c r="Z1074" i="48"/>
  <c r="Y1056" i="48"/>
  <c r="AC1077" i="48"/>
  <c r="Y1080" i="48"/>
  <c r="X1065" i="48"/>
  <c r="AB1080" i="48"/>
  <c r="AC1075" i="48"/>
  <c r="AC1056" i="48"/>
  <c r="AF1071" i="48"/>
  <c r="AE1075" i="48"/>
  <c r="X1080" i="48"/>
  <c r="AE1069" i="48"/>
  <c r="AD1061" i="48"/>
  <c r="AF1077" i="48"/>
  <c r="X1074" i="48"/>
  <c r="AB1069" i="48"/>
  <c r="AD1078" i="48"/>
  <c r="AA1056" i="48"/>
  <c r="X1056" i="48"/>
  <c r="Z1070" i="48"/>
  <c r="AE1070" i="48"/>
  <c r="Y378" i="48"/>
  <c r="Y207" i="48"/>
  <c r="Z206" i="48"/>
  <c r="S75" i="45"/>
  <c r="S38" i="45"/>
  <c r="S37" i="45" s="1"/>
  <c r="S221" i="45" s="1"/>
  <c r="Q538" i="48"/>
  <c r="R538" i="48" s="1"/>
  <c r="M13" i="81"/>
  <c r="L11" i="81"/>
  <c r="R12" i="45"/>
  <c r="R50" i="45" s="1"/>
  <c r="R10" i="46"/>
  <c r="P28" i="48"/>
  <c r="P23" i="48"/>
  <c r="P27" i="48"/>
  <c r="P26" i="48" s="1"/>
  <c r="P397" i="48" s="1"/>
  <c r="P428" i="48" s="1"/>
  <c r="P21" i="48"/>
  <c r="P24" i="48"/>
  <c r="P22" i="48"/>
  <c r="P452" i="48" s="1"/>
  <c r="P451" i="48" s="1"/>
  <c r="P25" i="48"/>
  <c r="P509" i="48" s="1"/>
  <c r="P508" i="48" s="1"/>
  <c r="S185" i="56"/>
  <c r="W184" i="56"/>
  <c r="T184" i="56"/>
  <c r="K115" i="50"/>
  <c r="J118" i="50"/>
  <c r="J119" i="50" s="1"/>
  <c r="G33" i="79"/>
  <c r="AE122" i="45"/>
  <c r="M32" i="79"/>
  <c r="P125" i="50"/>
  <c r="P210" i="45"/>
  <c r="P202" i="45"/>
  <c r="N109" i="50"/>
  <c r="Y85" i="48"/>
  <c r="Y88" i="48"/>
  <c r="Y86" i="48"/>
  <c r="Y453" i="48" s="1"/>
  <c r="Y91" i="48"/>
  <c r="Y89" i="48"/>
  <c r="Y510" i="48" s="1"/>
  <c r="Y87" i="48"/>
  <c r="Y92" i="48"/>
  <c r="T36" i="50"/>
  <c r="O437" i="48"/>
  <c r="O436" i="48" s="1"/>
  <c r="O20" i="48"/>
  <c r="O396" i="48" s="1"/>
  <c r="P440" i="48"/>
  <c r="N103" i="45"/>
  <c r="N134" i="45"/>
  <c r="N145" i="45" s="1"/>
  <c r="S25" i="45"/>
  <c r="K36" i="80"/>
  <c r="Q62" i="45"/>
  <c r="Q101" i="45"/>
  <c r="H7" i="79"/>
  <c r="P41" i="45"/>
  <c r="I40" i="80"/>
  <c r="H23" i="79"/>
  <c r="K120" i="50"/>
  <c r="R61" i="45"/>
  <c r="R100" i="45"/>
  <c r="R133" i="45"/>
  <c r="R144" i="45" s="1"/>
  <c r="O26" i="48"/>
  <c r="O397" i="48" s="1"/>
  <c r="O428" i="48" s="1"/>
  <c r="O494" i="48"/>
  <c r="O493" i="48" s="1"/>
  <c r="T63" i="45" s="1"/>
  <c r="O488" i="48"/>
  <c r="O487" i="48" s="1"/>
  <c r="T26" i="45" s="1"/>
  <c r="U469" i="48"/>
  <c r="D469" i="48" s="1"/>
  <c r="U475" i="48"/>
  <c r="D475" i="48" s="1"/>
  <c r="X235" i="48"/>
  <c r="Y233" i="48"/>
  <c r="R17" i="50"/>
  <c r="R19" i="50" s="1"/>
  <c r="X119" i="45"/>
  <c r="N472" i="48"/>
  <c r="Q25" i="45"/>
  <c r="Q206" i="45"/>
  <c r="H68" i="81"/>
  <c r="G67" i="81"/>
  <c r="P61" i="45"/>
  <c r="U174" i="48"/>
  <c r="T175" i="48"/>
  <c r="AA340" i="48"/>
  <c r="R206" i="45"/>
  <c r="P15" i="48"/>
  <c r="W179" i="48"/>
  <c r="X170" i="48"/>
  <c r="G31" i="79"/>
  <c r="J124" i="50"/>
  <c r="J14" i="50"/>
  <c r="N106" i="45"/>
  <c r="N135" i="45"/>
  <c r="N146" i="45" s="1"/>
  <c r="X90" i="48"/>
  <c r="T595" i="48"/>
  <c r="H15" i="81"/>
  <c r="U169" i="48"/>
  <c r="T171" i="48"/>
  <c r="P54" i="45"/>
  <c r="P92" i="45"/>
  <c r="Y471" i="48"/>
  <c r="Y477" i="48"/>
  <c r="G61" i="80"/>
  <c r="G70" i="80"/>
  <c r="H54" i="81"/>
  <c r="T75" i="45"/>
  <c r="T38" i="45"/>
  <c r="T37" i="45" s="1"/>
  <c r="T221" i="45" s="1"/>
  <c r="U540" i="48"/>
  <c r="D540" i="48" s="1"/>
  <c r="V270" i="48"/>
  <c r="U271" i="48"/>
  <c r="U490" i="48"/>
  <c r="D490" i="48" s="1"/>
  <c r="U496" i="48"/>
  <c r="D496" i="48" s="1"/>
  <c r="S66" i="45"/>
  <c r="S29" i="45"/>
  <c r="S28" i="45" s="1"/>
  <c r="G7" i="79"/>
  <c r="O5" i="45"/>
  <c r="O41" i="45" s="1"/>
  <c r="R110" i="45"/>
  <c r="AA371" i="48"/>
  <c r="L114" i="50"/>
  <c r="K117" i="50"/>
  <c r="Q154" i="45" s="1"/>
  <c r="I70" i="81" s="1"/>
  <c r="Q85" i="45"/>
  <c r="Q136" i="45"/>
  <c r="Q147" i="45" s="1"/>
  <c r="O473" i="48"/>
  <c r="O472" i="48" s="1"/>
  <c r="T72" i="45" s="1"/>
  <c r="O467" i="48"/>
  <c r="O466" i="48" s="1"/>
  <c r="R108" i="50"/>
  <c r="U439" i="48"/>
  <c r="D439" i="48" s="1"/>
  <c r="U180" i="48"/>
  <c r="U408" i="48" s="1"/>
  <c r="U410" i="48" s="1"/>
  <c r="Y77" i="48"/>
  <c r="Y79" i="48" s="1"/>
  <c r="Z73" i="48"/>
  <c r="N110" i="50"/>
  <c r="O111" i="50" s="1"/>
  <c r="Q6" i="46"/>
  <c r="Q7" i="45"/>
  <c r="R9" i="46"/>
  <c r="F67" i="81"/>
  <c r="K32" i="79"/>
  <c r="N125" i="50"/>
  <c r="Q5" i="81"/>
  <c r="U51" i="50"/>
  <c r="Q45" i="79"/>
  <c r="R24" i="45"/>
  <c r="R215" i="45"/>
  <c r="R169" i="45"/>
  <c r="I43" i="80"/>
  <c r="I45" i="80"/>
  <c r="S52" i="48"/>
  <c r="V184" i="48"/>
  <c r="V182" i="48"/>
  <c r="V454" i="48" s="1"/>
  <c r="V183" i="48"/>
  <c r="V185" i="48"/>
  <c r="V511" i="48" s="1"/>
  <c r="V187" i="48"/>
  <c r="V188" i="48"/>
  <c r="V181" i="48"/>
  <c r="V180" i="48" s="1"/>
  <c r="S68" i="45"/>
  <c r="S107" i="45"/>
  <c r="O43" i="45"/>
  <c r="F52" i="81"/>
  <c r="F51" i="81" s="1"/>
  <c r="F7" i="79"/>
  <c r="N5" i="45"/>
  <c r="N41" i="45" s="1"/>
  <c r="Z23" i="47"/>
  <c r="AE181" i="45" s="1"/>
  <c r="AD181" i="45"/>
  <c r="X495" i="48"/>
  <c r="X489" i="48"/>
  <c r="X474" i="48"/>
  <c r="X468" i="48"/>
  <c r="V86" i="45"/>
  <c r="V42" i="48"/>
  <c r="U51" i="48"/>
  <c r="U43" i="48"/>
  <c r="V46" i="48"/>
  <c r="V47" i="48" s="1"/>
  <c r="AB83" i="45"/>
  <c r="H57" i="80"/>
  <c r="H59" i="80"/>
  <c r="H71" i="80" s="1"/>
  <c r="H67" i="80"/>
  <c r="R15" i="46"/>
  <c r="Q13" i="45"/>
  <c r="Q219" i="45" s="1"/>
  <c r="D1084" i="48"/>
  <c r="E1084" i="48"/>
  <c r="C1114" i="48"/>
  <c r="Y498" i="48"/>
  <c r="Y492" i="48"/>
  <c r="Y372" i="48"/>
  <c r="P44" i="45"/>
  <c r="P82" i="45"/>
  <c r="P134" i="45"/>
  <c r="P145" i="45" s="1"/>
  <c r="N61" i="45"/>
  <c r="Z75" i="48"/>
  <c r="Z83" i="48"/>
  <c r="AA74" i="48"/>
  <c r="AA78" i="48"/>
  <c r="O106" i="45"/>
  <c r="O135" i="45"/>
  <c r="O146" i="45" s="1"/>
  <c r="H9" i="1"/>
  <c r="N536" i="48"/>
  <c r="Y111" i="45" l="1"/>
  <c r="Z27" i="45"/>
  <c r="Z36" i="45"/>
  <c r="Z39" i="45"/>
  <c r="Z76" i="45" s="1"/>
  <c r="Z114" i="45" s="1"/>
  <c r="Z73" i="45"/>
  <c r="U35" i="50"/>
  <c r="Z30" i="45"/>
  <c r="Z67" i="45" s="1"/>
  <c r="Z105" i="45" s="1"/>
  <c r="Z64" i="45"/>
  <c r="Z33" i="45"/>
  <c r="Z70" i="45" s="1"/>
  <c r="Z108" i="45" s="1"/>
  <c r="R13" i="46"/>
  <c r="R15" i="45"/>
  <c r="R53" i="45" s="1"/>
  <c r="T35" i="45"/>
  <c r="T34" i="45" s="1"/>
  <c r="P99" i="45"/>
  <c r="H15" i="79" s="1"/>
  <c r="H11" i="79"/>
  <c r="T62" i="45"/>
  <c r="T101" i="45"/>
  <c r="J11" i="79"/>
  <c r="R99" i="45"/>
  <c r="J15" i="79" s="1"/>
  <c r="T66" i="45"/>
  <c r="T29" i="45"/>
  <c r="T28" i="45" s="1"/>
  <c r="AF122" i="45"/>
  <c r="U75" i="45"/>
  <c r="U38" i="45"/>
  <c r="U37" i="45" s="1"/>
  <c r="U221" i="45" s="1"/>
  <c r="R87" i="45"/>
  <c r="R48" i="45"/>
  <c r="N13" i="81"/>
  <c r="M11" i="81"/>
  <c r="I19" i="81"/>
  <c r="S41" i="47"/>
  <c r="X49" i="45" s="1"/>
  <c r="T40" i="47"/>
  <c r="W238" i="48"/>
  <c r="V239" i="48"/>
  <c r="L126" i="45"/>
  <c r="D5" i="79"/>
  <c r="F6" i="1"/>
  <c r="L2" i="45"/>
  <c r="Q22" i="48"/>
  <c r="Q452" i="48" s="1"/>
  <c r="Q451" i="48" s="1"/>
  <c r="Q24" i="48"/>
  <c r="Q21" i="48"/>
  <c r="Q28" i="48"/>
  <c r="Q27" i="48"/>
  <c r="Q23" i="48"/>
  <c r="Q25" i="48"/>
  <c r="Q509" i="48" s="1"/>
  <c r="Q508" i="48" s="1"/>
  <c r="F24" i="81"/>
  <c r="H26" i="50"/>
  <c r="E5" i="79"/>
  <c r="M2" i="45"/>
  <c r="M3" i="45"/>
  <c r="M127" i="45"/>
  <c r="Q84" i="45"/>
  <c r="Q45" i="45"/>
  <c r="L99" i="45"/>
  <c r="D15" i="79" s="1"/>
  <c r="D11" i="79"/>
  <c r="L43" i="45"/>
  <c r="I44" i="80"/>
  <c r="Z492" i="48"/>
  <c r="Z498" i="48"/>
  <c r="M133" i="50"/>
  <c r="M103" i="50" s="1"/>
  <c r="L102" i="50"/>
  <c r="P43" i="45"/>
  <c r="P78" i="45" s="1"/>
  <c r="K8" i="50"/>
  <c r="K13" i="50" s="1"/>
  <c r="H10" i="79"/>
  <c r="P81" i="45"/>
  <c r="H14" i="79" s="1"/>
  <c r="Q24" i="45"/>
  <c r="Q215" i="45"/>
  <c r="Q169" i="45"/>
  <c r="N535" i="48"/>
  <c r="AA79" i="48"/>
  <c r="G9" i="79"/>
  <c r="O80" i="45"/>
  <c r="G13" i="79" s="1"/>
  <c r="J7" i="79"/>
  <c r="Q194" i="45"/>
  <c r="Q216" i="45"/>
  <c r="AA73" i="48"/>
  <c r="AA77" i="48" s="1"/>
  <c r="Z77" i="48"/>
  <c r="Z79" i="48" s="1"/>
  <c r="T71" i="45"/>
  <c r="T109" i="45" s="1"/>
  <c r="T110" i="45"/>
  <c r="M114" i="50"/>
  <c r="L117" i="50"/>
  <c r="R154" i="45" s="1"/>
  <c r="Y170" i="48"/>
  <c r="X179" i="48"/>
  <c r="R210" i="45"/>
  <c r="R205" i="45"/>
  <c r="J37" i="80"/>
  <c r="L34" i="80"/>
  <c r="K38" i="80"/>
  <c r="Y474" i="48"/>
  <c r="Y468" i="48"/>
  <c r="Y495" i="48"/>
  <c r="Y489" i="48"/>
  <c r="U69" i="45"/>
  <c r="U32" i="45"/>
  <c r="U31" i="45" s="1"/>
  <c r="U217" i="45" s="1"/>
  <c r="P473" i="48"/>
  <c r="P472" i="48" s="1"/>
  <c r="U72" i="45" s="1"/>
  <c r="P467" i="48"/>
  <c r="P466" i="48" s="1"/>
  <c r="U35" i="45" s="1"/>
  <c r="U34" i="45" s="1"/>
  <c r="O536" i="48"/>
  <c r="H5" i="79"/>
  <c r="P2" i="45"/>
  <c r="P3" i="45"/>
  <c r="P127" i="45"/>
  <c r="M80" i="45"/>
  <c r="E13" i="79" s="1"/>
  <c r="E9" i="79"/>
  <c r="O78" i="45"/>
  <c r="L41" i="45"/>
  <c r="Q15" i="48"/>
  <c r="F10" i="81"/>
  <c r="E49" i="81"/>
  <c r="E9" i="81"/>
  <c r="S63" i="45"/>
  <c r="T68" i="45"/>
  <c r="T107" i="45"/>
  <c r="Z372" i="48"/>
  <c r="Z477" i="48"/>
  <c r="Z471" i="48"/>
  <c r="Q37" i="79"/>
  <c r="T127" i="50"/>
  <c r="D1114" i="48"/>
  <c r="E1114" i="48"/>
  <c r="C1144" i="48"/>
  <c r="V469" i="48"/>
  <c r="V475" i="48"/>
  <c r="O110" i="50"/>
  <c r="O32" i="79"/>
  <c r="R125" i="50"/>
  <c r="F11" i="79"/>
  <c r="N99" i="45"/>
  <c r="F15" i="79" s="1"/>
  <c r="N43" i="45"/>
  <c r="N78" i="45" s="1"/>
  <c r="AA75" i="48"/>
  <c r="AA83" i="48"/>
  <c r="Y1109" i="48"/>
  <c r="Z1109" i="48"/>
  <c r="X1109" i="48"/>
  <c r="W1109" i="48"/>
  <c r="AG1109" i="48"/>
  <c r="AC1109" i="48"/>
  <c r="AA1109" i="48"/>
  <c r="V1109" i="48"/>
  <c r="V595" i="48" s="1"/>
  <c r="AD1109" i="48"/>
  <c r="AF1109" i="48"/>
  <c r="AE1109" i="48"/>
  <c r="AB1109" i="48"/>
  <c r="V1099" i="48"/>
  <c r="V585" i="48" s="1"/>
  <c r="V1090" i="48"/>
  <c r="V576" i="48" s="1"/>
  <c r="AA33" i="45" s="1"/>
  <c r="AA70" i="45" s="1"/>
  <c r="AA108" i="45" s="1"/>
  <c r="V1101" i="48"/>
  <c r="V587" i="48" s="1"/>
  <c r="V1105" i="48"/>
  <c r="V591" i="48" s="1"/>
  <c r="V1086" i="48"/>
  <c r="V572" i="48" s="1"/>
  <c r="V1096" i="48"/>
  <c r="V582" i="48" s="1"/>
  <c r="V1107" i="48"/>
  <c r="V593" i="48" s="1"/>
  <c r="V33" i="50" s="1"/>
  <c r="V1094" i="48"/>
  <c r="V580" i="48" s="1"/>
  <c r="V1087" i="48"/>
  <c r="V573" i="48" s="1"/>
  <c r="V1108" i="48"/>
  <c r="V594" i="48" s="1"/>
  <c r="V34" i="50" s="1"/>
  <c r="V1100" i="48"/>
  <c r="V586" i="48" s="1"/>
  <c r="V1095" i="48"/>
  <c r="V581" i="48" s="1"/>
  <c r="W1090" i="48"/>
  <c r="W1087" i="48"/>
  <c r="W1096" i="48"/>
  <c r="W1105" i="48"/>
  <c r="W1095" i="48"/>
  <c r="Z1096" i="48"/>
  <c r="Y1091" i="48"/>
  <c r="X1087" i="48"/>
  <c r="X1105" i="48"/>
  <c r="AA1096" i="48"/>
  <c r="AA1105" i="48"/>
  <c r="Z1101" i="48"/>
  <c r="Y1096" i="48"/>
  <c r="X1091" i="48"/>
  <c r="W1086" i="48"/>
  <c r="W1094" i="48"/>
  <c r="W1091" i="48"/>
  <c r="W1101" i="48"/>
  <c r="W1100" i="48"/>
  <c r="AA1087" i="48"/>
  <c r="AA1091" i="48"/>
  <c r="AA1101" i="48"/>
  <c r="Z1087" i="48"/>
  <c r="Z1105" i="48"/>
  <c r="Y1101" i="48"/>
  <c r="X1096" i="48"/>
  <c r="V1104" i="48"/>
  <c r="V590" i="48" s="1"/>
  <c r="AA39" i="45" s="1"/>
  <c r="AA76" i="45" s="1"/>
  <c r="AA114" i="45" s="1"/>
  <c r="V1091" i="48"/>
  <c r="V577" i="48" s="1"/>
  <c r="W1099" i="48"/>
  <c r="W1104" i="48"/>
  <c r="W1107" i="48"/>
  <c r="W1108" i="48"/>
  <c r="Z1091" i="48"/>
  <c r="Y1087" i="48"/>
  <c r="Y1105" i="48"/>
  <c r="X1101" i="48"/>
  <c r="AC1110" i="48"/>
  <c r="X1104" i="48"/>
  <c r="AF1099" i="48"/>
  <c r="AC1099" i="48"/>
  <c r="AG1105" i="48"/>
  <c r="AA1094" i="48"/>
  <c r="AC1086" i="48"/>
  <c r="X1108" i="48"/>
  <c r="AG1101" i="48"/>
  <c r="AC1087" i="48"/>
  <c r="AD1094" i="48"/>
  <c r="AF1094" i="48"/>
  <c r="AG1091" i="48"/>
  <c r="AF1108" i="48"/>
  <c r="AB1094" i="48"/>
  <c r="AB1090" i="48"/>
  <c r="AG1087" i="48"/>
  <c r="Z1110" i="48"/>
  <c r="AD1104" i="48"/>
  <c r="AG1096" i="48"/>
  <c r="Z1107" i="48"/>
  <c r="Y1110" i="48"/>
  <c r="Y1090" i="48"/>
  <c r="AB1108" i="48"/>
  <c r="Y1107" i="48"/>
  <c r="AA1086" i="48"/>
  <c r="AG1086" i="48"/>
  <c r="AF1095" i="48"/>
  <c r="Y1108" i="48"/>
  <c r="AE1094" i="48"/>
  <c r="AB1110" i="48"/>
  <c r="AE1100" i="48"/>
  <c r="AF1110" i="48"/>
  <c r="AB1101" i="48"/>
  <c r="AG1110" i="48"/>
  <c r="AD1099" i="48"/>
  <c r="AG1099" i="48"/>
  <c r="X1095" i="48"/>
  <c r="AG1108" i="48"/>
  <c r="AE1087" i="48"/>
  <c r="AD1086" i="48"/>
  <c r="AG1104" i="48"/>
  <c r="AE1086" i="48"/>
  <c r="AF1091" i="48"/>
  <c r="AD1105" i="48"/>
  <c r="AB1095" i="48"/>
  <c r="Y1094" i="48"/>
  <c r="AD1100" i="48"/>
  <c r="AC1091" i="48"/>
  <c r="AE1104" i="48"/>
  <c r="AB1091" i="48"/>
  <c r="AD1107" i="48"/>
  <c r="AE1090" i="48"/>
  <c r="Y1086" i="48"/>
  <c r="AG1090" i="48"/>
  <c r="X1107" i="48"/>
  <c r="Z1095" i="48"/>
  <c r="AG1094" i="48"/>
  <c r="AC1104" i="48"/>
  <c r="AD1101" i="48"/>
  <c r="Y1095" i="48"/>
  <c r="X1090" i="48"/>
  <c r="AF1096" i="48"/>
  <c r="AA1107" i="48"/>
  <c r="Z1094" i="48"/>
  <c r="AD1090" i="48"/>
  <c r="Y1100" i="48"/>
  <c r="AB1099" i="48"/>
  <c r="AA1099" i="48"/>
  <c r="X1086" i="48"/>
  <c r="AE1107" i="48"/>
  <c r="AD1108" i="48"/>
  <c r="Z1086" i="48"/>
  <c r="AG1095" i="48"/>
  <c r="AF1101" i="48"/>
  <c r="AC1101" i="48"/>
  <c r="AC1095" i="48"/>
  <c r="AC1090" i="48"/>
  <c r="AB1105" i="48"/>
  <c r="AC1100" i="48"/>
  <c r="AG1107" i="48"/>
  <c r="AB1087" i="48"/>
  <c r="Y1099" i="48"/>
  <c r="AC1096" i="48"/>
  <c r="AB1086" i="48"/>
  <c r="AF1100" i="48"/>
  <c r="W1110" i="48"/>
  <c r="AA1110" i="48"/>
  <c r="AA1100" i="48"/>
  <c r="AE1108" i="48"/>
  <c r="AE1091" i="48"/>
  <c r="AE1095" i="48"/>
  <c r="Z1090" i="48"/>
  <c r="AB1100" i="48"/>
  <c r="AD1087" i="48"/>
  <c r="AA1108" i="48"/>
  <c r="Y1104" i="48"/>
  <c r="AC1105" i="48"/>
  <c r="Z1100" i="48"/>
  <c r="AD1110" i="48"/>
  <c r="X1099" i="48"/>
  <c r="Z1099" i="48"/>
  <c r="AE1099" i="48"/>
  <c r="AD1096" i="48"/>
  <c r="AF1087" i="48"/>
  <c r="AA1104" i="48"/>
  <c r="X1100" i="48"/>
  <c r="AD1091" i="48"/>
  <c r="AE1096" i="48"/>
  <c r="AA1095" i="48"/>
  <c r="AF1104" i="48"/>
  <c r="AF1105" i="48"/>
  <c r="X1110" i="48"/>
  <c r="AE1105" i="48"/>
  <c r="AB1096" i="48"/>
  <c r="AF1107" i="48"/>
  <c r="AB1107" i="48"/>
  <c r="Z1104" i="48"/>
  <c r="X1094" i="48"/>
  <c r="Z1108" i="48"/>
  <c r="AD1095" i="48"/>
  <c r="AF1090" i="48"/>
  <c r="AG1100" i="48"/>
  <c r="AC1107" i="48"/>
  <c r="V1110" i="48"/>
  <c r="V596" i="48" s="1"/>
  <c r="V597" i="48" s="1"/>
  <c r="AB1104" i="48"/>
  <c r="AF1086" i="48"/>
  <c r="AC1108" i="48"/>
  <c r="AE1101" i="48"/>
  <c r="AC1094" i="48"/>
  <c r="AA1090" i="48"/>
  <c r="AE1110" i="48"/>
  <c r="U60" i="48"/>
  <c r="U53" i="48"/>
  <c r="U57" i="48"/>
  <c r="U54" i="48"/>
  <c r="U55" i="48"/>
  <c r="U56" i="48"/>
  <c r="U59" i="48"/>
  <c r="U58" i="48" s="1"/>
  <c r="V186" i="48"/>
  <c r="V490" i="48"/>
  <c r="V496" i="48"/>
  <c r="J41" i="80"/>
  <c r="Q6" i="45"/>
  <c r="Q5" i="46"/>
  <c r="S108" i="50"/>
  <c r="AA377" i="48"/>
  <c r="AA513" i="48" s="1"/>
  <c r="AA373" i="48"/>
  <c r="AA376" i="48"/>
  <c r="AA374" i="48"/>
  <c r="AA456" i="48" s="1"/>
  <c r="AA380" i="48"/>
  <c r="AA379" i="48"/>
  <c r="AA378" i="48" s="1"/>
  <c r="AA375" i="48"/>
  <c r="G5" i="79"/>
  <c r="O2" i="45"/>
  <c r="O3" i="45"/>
  <c r="O127" i="45"/>
  <c r="H58" i="80"/>
  <c r="G73" i="80"/>
  <c r="V169" i="48"/>
  <c r="U171" i="48"/>
  <c r="W184" i="48"/>
  <c r="W182" i="48"/>
  <c r="W454" i="48" s="1"/>
  <c r="W185" i="48"/>
  <c r="W511" i="48" s="1"/>
  <c r="W187" i="48"/>
  <c r="W186" i="48" s="1"/>
  <c r="W183" i="48"/>
  <c r="W188" i="48"/>
  <c r="W181" i="48"/>
  <c r="W180" i="48" s="1"/>
  <c r="V174" i="48"/>
  <c r="U175" i="48"/>
  <c r="I68" i="81"/>
  <c r="H67" i="81"/>
  <c r="S72" i="45"/>
  <c r="S206" i="45"/>
  <c r="Y84" i="48"/>
  <c r="W185" i="56"/>
  <c r="S186" i="56"/>
  <c r="T185" i="56"/>
  <c r="P488" i="48"/>
  <c r="P487" i="48" s="1"/>
  <c r="P494" i="48"/>
  <c r="P493" i="48" s="1"/>
  <c r="U63" i="45" s="1"/>
  <c r="S74" i="45"/>
  <c r="S112" i="45" s="1"/>
  <c r="S113" i="45"/>
  <c r="AC83" i="45"/>
  <c r="T52" i="48"/>
  <c r="M78" i="45"/>
  <c r="R20" i="50"/>
  <c r="Y208" i="45"/>
  <c r="Y102" i="45"/>
  <c r="R7" i="46"/>
  <c r="R9" i="45"/>
  <c r="I23" i="79"/>
  <c r="L120" i="50"/>
  <c r="V540" i="48"/>
  <c r="V271" i="48"/>
  <c r="W270" i="48"/>
  <c r="P138" i="45"/>
  <c r="P149" i="45" s="1"/>
  <c r="P91" i="45"/>
  <c r="I55" i="80"/>
  <c r="H69" i="80"/>
  <c r="I26" i="50"/>
  <c r="J26" i="50" s="1"/>
  <c r="F5" i="79"/>
  <c r="N2" i="45"/>
  <c r="N3" i="45"/>
  <c r="N127" i="45"/>
  <c r="Z87" i="48"/>
  <c r="Z86" i="48"/>
  <c r="Z453" i="48" s="1"/>
  <c r="Z91" i="48"/>
  <c r="Z89" i="48"/>
  <c r="Z510" i="48" s="1"/>
  <c r="Z88" i="48"/>
  <c r="Z85" i="48"/>
  <c r="Z92" i="48"/>
  <c r="W42" i="48"/>
  <c r="V51" i="48"/>
  <c r="V43" i="48"/>
  <c r="W46" i="48"/>
  <c r="W47" i="48" s="1"/>
  <c r="S106" i="45"/>
  <c r="S135" i="45"/>
  <c r="S146" i="45" s="1"/>
  <c r="V51" i="50"/>
  <c r="U59" i="50"/>
  <c r="R45" i="79"/>
  <c r="S65" i="45"/>
  <c r="S103" i="45" s="1"/>
  <c r="S104" i="45"/>
  <c r="T74" i="45"/>
  <c r="T112" i="45" s="1"/>
  <c r="T113" i="45"/>
  <c r="I15" i="81"/>
  <c r="Q210" i="45"/>
  <c r="Q205" i="45"/>
  <c r="Q201" i="45" s="1"/>
  <c r="S19" i="50"/>
  <c r="Y119" i="45"/>
  <c r="Z233" i="48"/>
  <c r="Y235" i="48"/>
  <c r="T25" i="45"/>
  <c r="T206" i="45"/>
  <c r="Q61" i="45"/>
  <c r="Q100" i="45"/>
  <c r="Q133" i="45"/>
  <c r="Q144" i="45" s="1"/>
  <c r="S24" i="45"/>
  <c r="S215" i="45"/>
  <c r="S169" i="45"/>
  <c r="O398" i="48"/>
  <c r="O429" i="48" s="1"/>
  <c r="O427" i="48"/>
  <c r="U36" i="50"/>
  <c r="Y90" i="48"/>
  <c r="O109" i="50"/>
  <c r="L115" i="50"/>
  <c r="K118" i="50"/>
  <c r="K119" i="50" s="1"/>
  <c r="P437" i="48"/>
  <c r="P436" i="48" s="1"/>
  <c r="P20" i="48"/>
  <c r="P396" i="48" s="1"/>
  <c r="Q440" i="48"/>
  <c r="R10" i="45"/>
  <c r="S12" i="46"/>
  <c r="AA206" i="48"/>
  <c r="AA207" i="48" s="1"/>
  <c r="Z207" i="48"/>
  <c r="Q88" i="45"/>
  <c r="Q137" i="45"/>
  <c r="Q148" i="45" s="1"/>
  <c r="Z38" i="47"/>
  <c r="AD46" i="45"/>
  <c r="W86" i="45"/>
  <c r="R19" i="48"/>
  <c r="S10" i="48"/>
  <c r="R11" i="48"/>
  <c r="R14" i="48"/>
  <c r="AA365" i="48"/>
  <c r="AA367" i="48" s="1"/>
  <c r="AA361" i="48"/>
  <c r="AA363" i="48" s="1"/>
  <c r="Z363" i="48"/>
  <c r="M41" i="45"/>
  <c r="Q212" i="45"/>
  <c r="Q202" i="45"/>
  <c r="Z378" i="48"/>
  <c r="T110" i="48"/>
  <c r="S111" i="48"/>
  <c r="S537" i="48"/>
  <c r="S538" i="48"/>
  <c r="T538" i="48" s="1"/>
  <c r="V35" i="50" l="1"/>
  <c r="Z111" i="45"/>
  <c r="AA64" i="45"/>
  <c r="S37" i="79"/>
  <c r="V127" i="50"/>
  <c r="AA30" i="45"/>
  <c r="AA27" i="45"/>
  <c r="AA208" i="45" s="1"/>
  <c r="AA73" i="45"/>
  <c r="AA111" i="45" s="1"/>
  <c r="AA36" i="45"/>
  <c r="AA89" i="48"/>
  <c r="AA510" i="48" s="1"/>
  <c r="AA85" i="48"/>
  <c r="AA92" i="48"/>
  <c r="AA86" i="48"/>
  <c r="AA453" i="48" s="1"/>
  <c r="AA91" i="48"/>
  <c r="AA87" i="48"/>
  <c r="AA88" i="48"/>
  <c r="T106" i="45"/>
  <c r="T135" i="45"/>
  <c r="T146" i="45" s="1"/>
  <c r="J23" i="79"/>
  <c r="M120" i="50"/>
  <c r="D9" i="79"/>
  <c r="L80" i="45"/>
  <c r="D13" i="79" s="1"/>
  <c r="Q44" i="45"/>
  <c r="Q82" i="45"/>
  <c r="Q134" i="45"/>
  <c r="Q145" i="45" s="1"/>
  <c r="G24" i="81"/>
  <c r="F22" i="81"/>
  <c r="O13" i="81"/>
  <c r="N11" i="81"/>
  <c r="U74" i="45"/>
  <c r="U112" i="45" s="1"/>
  <c r="U113" i="45"/>
  <c r="T65" i="45"/>
  <c r="T103" i="45" s="1"/>
  <c r="T104" i="45"/>
  <c r="S15" i="46"/>
  <c r="R13" i="45"/>
  <c r="R219" i="45" s="1"/>
  <c r="Z208" i="45"/>
  <c r="R23" i="48"/>
  <c r="R24" i="48"/>
  <c r="R22" i="48"/>
  <c r="R452" i="48" s="1"/>
  <c r="R451" i="48" s="1"/>
  <c r="R27" i="48"/>
  <c r="R25" i="48"/>
  <c r="R509" i="48" s="1"/>
  <c r="R508" i="48" s="1"/>
  <c r="R28" i="48"/>
  <c r="R21" i="48"/>
  <c r="U29" i="45"/>
  <c r="U28" i="45" s="1"/>
  <c r="U66" i="45"/>
  <c r="Z90" i="48"/>
  <c r="W540" i="48"/>
  <c r="X270" i="48"/>
  <c r="W271" i="48"/>
  <c r="S205" i="45"/>
  <c r="S210" i="45"/>
  <c r="AA477" i="48"/>
  <c r="AA471" i="48"/>
  <c r="J43" i="80"/>
  <c r="J45" i="80"/>
  <c r="T111" i="48"/>
  <c r="U110" i="48"/>
  <c r="T537" i="48"/>
  <c r="R15" i="48"/>
  <c r="R172" i="45"/>
  <c r="R218" i="45"/>
  <c r="Z84" i="48"/>
  <c r="I57" i="80"/>
  <c r="I59" i="80"/>
  <c r="I71" i="80" s="1"/>
  <c r="I67" i="80"/>
  <c r="R47" i="45"/>
  <c r="R204" i="45"/>
  <c r="S20" i="50"/>
  <c r="U62" i="45"/>
  <c r="AA372" i="48"/>
  <c r="Y1139" i="48"/>
  <c r="AA1139" i="48"/>
  <c r="Z1139" i="48"/>
  <c r="X1139" i="48"/>
  <c r="W1139" i="48"/>
  <c r="W595" i="48" s="1"/>
  <c r="AH1139" i="48"/>
  <c r="AD1139" i="48"/>
  <c r="AE1139" i="48"/>
  <c r="AG1139" i="48"/>
  <c r="AF1139" i="48"/>
  <c r="AC1139" i="48"/>
  <c r="AB1139" i="48"/>
  <c r="W1137" i="48"/>
  <c r="W593" i="48" s="1"/>
  <c r="W33" i="50" s="1"/>
  <c r="W1138" i="48"/>
  <c r="W594" i="48" s="1"/>
  <c r="W34" i="50" s="1"/>
  <c r="AA1131" i="48"/>
  <c r="Z1121" i="48"/>
  <c r="Y1117" i="48"/>
  <c r="Y1135" i="48"/>
  <c r="X1131" i="48"/>
  <c r="W1120" i="48"/>
  <c r="W576" i="48" s="1"/>
  <c r="AB33" i="45" s="1"/>
  <c r="AB70" i="45" s="1"/>
  <c r="AB108" i="45" s="1"/>
  <c r="W1134" i="48"/>
  <c r="W590" i="48" s="1"/>
  <c r="AB39" i="45" s="1"/>
  <c r="AB76" i="45" s="1"/>
  <c r="AB114" i="45" s="1"/>
  <c r="W1117" i="48"/>
  <c r="W573" i="48" s="1"/>
  <c r="W1126" i="48"/>
  <c r="W582" i="48" s="1"/>
  <c r="W1135" i="48"/>
  <c r="W591" i="48" s="1"/>
  <c r="W1125" i="48"/>
  <c r="W581" i="48" s="1"/>
  <c r="AB73" i="45" s="1"/>
  <c r="AB111" i="45" s="1"/>
  <c r="Z1126" i="48"/>
  <c r="Y1121" i="48"/>
  <c r="X1117" i="48"/>
  <c r="X1135" i="48"/>
  <c r="AA1135" i="48"/>
  <c r="Z1131" i="48"/>
  <c r="Y1126" i="48"/>
  <c r="X1121" i="48"/>
  <c r="W1129" i="48"/>
  <c r="W1116" i="48"/>
  <c r="W572" i="48" s="1"/>
  <c r="AB30" i="45" s="1"/>
  <c r="W1124" i="48"/>
  <c r="W580" i="48" s="1"/>
  <c r="AB36" i="45" s="1"/>
  <c r="W1121" i="48"/>
  <c r="W1131" i="48"/>
  <c r="W587" i="48" s="1"/>
  <c r="W1130" i="48"/>
  <c r="W586" i="48" s="1"/>
  <c r="AB64" i="45" s="1"/>
  <c r="AA1117" i="48"/>
  <c r="AA1121" i="48"/>
  <c r="AA1126" i="48"/>
  <c r="Z1117" i="48"/>
  <c r="Z1135" i="48"/>
  <c r="Y1131" i="48"/>
  <c r="X1126" i="48"/>
  <c r="AE1130" i="48"/>
  <c r="X1130" i="48"/>
  <c r="AB1130" i="48"/>
  <c r="X1137" i="48"/>
  <c r="X1140" i="48"/>
  <c r="AD1134" i="48"/>
  <c r="X1124" i="48"/>
  <c r="AC1137" i="48"/>
  <c r="AF1121" i="48"/>
  <c r="AB1140" i="48"/>
  <c r="X1120" i="48"/>
  <c r="AF1135" i="48"/>
  <c r="AB1135" i="48"/>
  <c r="AC1140" i="48"/>
  <c r="AF1129" i="48"/>
  <c r="AH1135" i="48"/>
  <c r="AG1135" i="48"/>
  <c r="AB1125" i="48"/>
  <c r="AD1120" i="48"/>
  <c r="Y1134" i="48"/>
  <c r="AE1135" i="48"/>
  <c r="AB1138" i="48"/>
  <c r="AF1120" i="48"/>
  <c r="Z1116" i="48"/>
  <c r="AH1129" i="48"/>
  <c r="AD1121" i="48"/>
  <c r="AG1138" i="48"/>
  <c r="AA1125" i="48"/>
  <c r="AE1134" i="48"/>
  <c r="AD1124" i="48"/>
  <c r="Y1125" i="48"/>
  <c r="AH1138" i="48"/>
  <c r="AA1134" i="48"/>
  <c r="AH1124" i="48"/>
  <c r="AH1140" i="48"/>
  <c r="AC1131" i="48"/>
  <c r="AD1130" i="48"/>
  <c r="Z1129" i="48"/>
  <c r="AH1130" i="48"/>
  <c r="AE1138" i="48"/>
  <c r="AF1116" i="48"/>
  <c r="AA1120" i="48"/>
  <c r="AD1140" i="48"/>
  <c r="AH1131" i="48"/>
  <c r="AH1121" i="48"/>
  <c r="AC1124" i="48"/>
  <c r="Z1120" i="48"/>
  <c r="AB1129" i="48"/>
  <c r="AD1131" i="48"/>
  <c r="AD1125" i="48"/>
  <c r="AG1134" i="48"/>
  <c r="AG1129" i="48"/>
  <c r="AD1126" i="48"/>
  <c r="AG1131" i="48"/>
  <c r="Z1140" i="48"/>
  <c r="AG1124" i="48"/>
  <c r="AD1129" i="48"/>
  <c r="AF1131" i="48"/>
  <c r="Z1138" i="48"/>
  <c r="AF1124" i="48"/>
  <c r="AC1117" i="48"/>
  <c r="AD1117" i="48"/>
  <c r="AH1126" i="48"/>
  <c r="AB1124" i="48"/>
  <c r="AB1120" i="48"/>
  <c r="X1134" i="48"/>
  <c r="X1138" i="48"/>
  <c r="AE1124" i="48"/>
  <c r="AD1135" i="48"/>
  <c r="Z1137" i="48"/>
  <c r="AF1117" i="48"/>
  <c r="AA1124" i="48"/>
  <c r="AH1125" i="48"/>
  <c r="AB1131" i="48"/>
  <c r="AG1130" i="48"/>
  <c r="Z1130" i="48"/>
  <c r="X1129" i="48"/>
  <c r="AF1126" i="48"/>
  <c r="AC1116" i="48"/>
  <c r="AC1121" i="48"/>
  <c r="AF1140" i="48"/>
  <c r="AE1126" i="48"/>
  <c r="W1140" i="48"/>
  <c r="W596" i="48" s="1"/>
  <c r="W597" i="48" s="1"/>
  <c r="AD1116" i="48"/>
  <c r="AG1120" i="48"/>
  <c r="Y1129" i="48"/>
  <c r="AB1137" i="48"/>
  <c r="AB1134" i="48"/>
  <c r="AH1120" i="48"/>
  <c r="AA1130" i="48"/>
  <c r="AG1117" i="48"/>
  <c r="Y1140" i="48"/>
  <c r="AA1116" i="48"/>
  <c r="AG1116" i="48"/>
  <c r="AE1129" i="48"/>
  <c r="AG1121" i="48"/>
  <c r="AE1116" i="48"/>
  <c r="AE1120" i="48"/>
  <c r="Y1120" i="48"/>
  <c r="AA1138" i="48"/>
  <c r="AH1137" i="48"/>
  <c r="AA1140" i="48"/>
  <c r="Z1125" i="48"/>
  <c r="AE1140" i="48"/>
  <c r="AD1137" i="48"/>
  <c r="Z1134" i="48"/>
  <c r="AH1116" i="48"/>
  <c r="Y1137" i="48"/>
  <c r="AF1125" i="48"/>
  <c r="AC1126" i="48"/>
  <c r="AA1129" i="48"/>
  <c r="Y1130" i="48"/>
  <c r="AF1130" i="48"/>
  <c r="AC1130" i="48"/>
  <c r="AE1121" i="48"/>
  <c r="AH1134" i="48"/>
  <c r="AC1135" i="48"/>
  <c r="AD1138" i="48"/>
  <c r="Y1138" i="48"/>
  <c r="AB1117" i="48"/>
  <c r="Y1124" i="48"/>
  <c r="AG1137" i="48"/>
  <c r="AG1126" i="48"/>
  <c r="AC1125" i="48"/>
  <c r="AB1121" i="48"/>
  <c r="AG1140" i="48"/>
  <c r="AF1138" i="48"/>
  <c r="AH1117" i="48"/>
  <c r="AB1116" i="48"/>
  <c r="AC1138" i="48"/>
  <c r="AE1117" i="48"/>
  <c r="AE1125" i="48"/>
  <c r="AC1120" i="48"/>
  <c r="X1125" i="48"/>
  <c r="AF1137" i="48"/>
  <c r="AE1137" i="48"/>
  <c r="AB1126" i="48"/>
  <c r="AG1125" i="48"/>
  <c r="AC1129" i="48"/>
  <c r="AA1137" i="48"/>
  <c r="Z1124" i="48"/>
  <c r="X1116" i="48"/>
  <c r="AE1131" i="48"/>
  <c r="AF1134" i="48"/>
  <c r="AC1134" i="48"/>
  <c r="Y1116" i="48"/>
  <c r="G10" i="81"/>
  <c r="F49" i="81"/>
  <c r="F9" i="81"/>
  <c r="K26" i="50"/>
  <c r="O535" i="48"/>
  <c r="P536" i="48"/>
  <c r="U68" i="45"/>
  <c r="U107" i="45"/>
  <c r="N114" i="50"/>
  <c r="M117" i="50"/>
  <c r="S154" i="45" s="1"/>
  <c r="N133" i="50"/>
  <c r="N103" i="50" s="1"/>
  <c r="M102" i="50"/>
  <c r="L78" i="45"/>
  <c r="V38" i="45"/>
  <c r="V37" i="45" s="1"/>
  <c r="V221" i="45" s="1"/>
  <c r="V75" i="45"/>
  <c r="Q437" i="48"/>
  <c r="Q436" i="48" s="1"/>
  <c r="Q20" i="48"/>
  <c r="Q396" i="48" s="1"/>
  <c r="R440" i="48"/>
  <c r="X238" i="48"/>
  <c r="W239" i="48"/>
  <c r="R85" i="45"/>
  <c r="R136" i="45"/>
  <c r="R147" i="45" s="1"/>
  <c r="T61" i="45"/>
  <c r="T100" i="45"/>
  <c r="T133" i="45"/>
  <c r="T144" i="45" s="1"/>
  <c r="R37" i="79"/>
  <c r="U127" i="50"/>
  <c r="AA38" i="47"/>
  <c r="AE46" i="45"/>
  <c r="P32" i="79"/>
  <c r="S125" i="50"/>
  <c r="V59" i="50"/>
  <c r="S45" i="79"/>
  <c r="T186" i="56"/>
  <c r="U186" i="56"/>
  <c r="W187" i="56"/>
  <c r="W186" i="56"/>
  <c r="W169" i="48"/>
  <c r="V171" i="48"/>
  <c r="AA492" i="48"/>
  <c r="AA498" i="48"/>
  <c r="M115" i="50"/>
  <c r="L118" i="50"/>
  <c r="L119" i="50" s="1"/>
  <c r="V36" i="50"/>
  <c r="I11" i="79"/>
  <c r="Q99" i="45"/>
  <c r="I15" i="79" s="1"/>
  <c r="Z235" i="48"/>
  <c r="AA233" i="48"/>
  <c r="AA235" i="48" s="1"/>
  <c r="V54" i="48"/>
  <c r="V60" i="48"/>
  <c r="V55" i="48"/>
  <c r="V57" i="48"/>
  <c r="V59" i="48"/>
  <c r="V56" i="48"/>
  <c r="V53" i="48"/>
  <c r="Z489" i="48"/>
  <c r="Z495" i="48"/>
  <c r="Z474" i="48"/>
  <c r="Z468" i="48"/>
  <c r="R6" i="46"/>
  <c r="R7" i="45"/>
  <c r="S9" i="46"/>
  <c r="U26" i="45"/>
  <c r="U101" i="45" s="1"/>
  <c r="S71" i="45"/>
  <c r="S109" i="45" s="1"/>
  <c r="S110" i="45"/>
  <c r="W174" i="48"/>
  <c r="V175" i="48"/>
  <c r="W469" i="48"/>
  <c r="W475" i="48"/>
  <c r="W490" i="48"/>
  <c r="W496" i="48"/>
  <c r="H61" i="80"/>
  <c r="H70" i="80"/>
  <c r="I14" i="81"/>
  <c r="Q5" i="45"/>
  <c r="L9" i="50"/>
  <c r="J20" i="81" s="1"/>
  <c r="L10" i="50"/>
  <c r="I16" i="81" s="1"/>
  <c r="L12" i="50"/>
  <c r="L11" i="50"/>
  <c r="I6" i="79"/>
  <c r="G4" i="1"/>
  <c r="I60" i="81"/>
  <c r="I17" i="81"/>
  <c r="I58" i="81"/>
  <c r="I59" i="81"/>
  <c r="I55" i="81"/>
  <c r="I56" i="81"/>
  <c r="U52" i="48"/>
  <c r="N80" i="45"/>
  <c r="F13" i="79" s="1"/>
  <c r="F9" i="79"/>
  <c r="S62" i="45"/>
  <c r="S101" i="45"/>
  <c r="J40" i="80"/>
  <c r="X182" i="48"/>
  <c r="X454" i="48" s="1"/>
  <c r="X188" i="48"/>
  <c r="X183" i="48"/>
  <c r="X181" i="48"/>
  <c r="X187" i="48"/>
  <c r="X185" i="48"/>
  <c r="X511" i="48" s="1"/>
  <c r="X184" i="48"/>
  <c r="I52" i="81"/>
  <c r="I7" i="79"/>
  <c r="Q41" i="45"/>
  <c r="G5" i="1"/>
  <c r="G52" i="81"/>
  <c r="G51" i="81" s="1"/>
  <c r="H52" i="81"/>
  <c r="H51" i="81" s="1"/>
  <c r="H31" i="79"/>
  <c r="K124" i="50"/>
  <c r="K14" i="50"/>
  <c r="K22" i="50"/>
  <c r="I47" i="80"/>
  <c r="Q473" i="48"/>
  <c r="Q472" i="48" s="1"/>
  <c r="Q467" i="48"/>
  <c r="Q466" i="48" s="1"/>
  <c r="V35" i="45" s="1"/>
  <c r="V34" i="45" s="1"/>
  <c r="Q488" i="48"/>
  <c r="Q487" i="48" s="1"/>
  <c r="V26" i="45" s="1"/>
  <c r="Q494" i="48"/>
  <c r="Q493" i="48" s="1"/>
  <c r="V63" i="45" s="1"/>
  <c r="T41" i="47"/>
  <c r="Y49" i="45" s="1"/>
  <c r="U40" i="47"/>
  <c r="Z102" i="45"/>
  <c r="S12" i="45"/>
  <c r="S50" i="45" s="1"/>
  <c r="S10" i="46"/>
  <c r="T24" i="45"/>
  <c r="J52" i="81" s="1"/>
  <c r="T215" i="45"/>
  <c r="T169" i="45"/>
  <c r="J68" i="81"/>
  <c r="I67" i="81"/>
  <c r="S19" i="48"/>
  <c r="T10" i="48"/>
  <c r="S14" i="48"/>
  <c r="S11" i="48"/>
  <c r="AD83" i="45"/>
  <c r="P427" i="48"/>
  <c r="D427" i="48" s="1"/>
  <c r="P398" i="48"/>
  <c r="P429" i="48" s="1"/>
  <c r="P109" i="50"/>
  <c r="K7" i="79"/>
  <c r="T205" i="45"/>
  <c r="T210" i="45"/>
  <c r="T17" i="50"/>
  <c r="T19" i="50" s="1"/>
  <c r="Z119" i="45"/>
  <c r="R49" i="79"/>
  <c r="U130" i="50"/>
  <c r="W51" i="48"/>
  <c r="W43" i="48"/>
  <c r="X46" i="48"/>
  <c r="X47" i="48" s="1"/>
  <c r="X42" i="48"/>
  <c r="U538" i="48"/>
  <c r="D538" i="48" s="1"/>
  <c r="T108" i="50"/>
  <c r="W585" i="48"/>
  <c r="AB27" i="45" s="1"/>
  <c r="W577" i="48"/>
  <c r="P86" i="50"/>
  <c r="D1144" i="48"/>
  <c r="C1174" i="48"/>
  <c r="E1144" i="48"/>
  <c r="U71" i="45"/>
  <c r="U109" i="45" s="1"/>
  <c r="U110" i="45"/>
  <c r="L36" i="80"/>
  <c r="Y179" i="48"/>
  <c r="Z170" i="48"/>
  <c r="I54" i="81"/>
  <c r="H9" i="79"/>
  <c r="P80" i="45"/>
  <c r="H13" i="79" s="1"/>
  <c r="Q26" i="48"/>
  <c r="Q397" i="48" s="1"/>
  <c r="Q428" i="48" s="1"/>
  <c r="V32" i="45"/>
  <c r="V31" i="45" s="1"/>
  <c r="V217" i="45" s="1"/>
  <c r="V69" i="45"/>
  <c r="L125" i="45"/>
  <c r="L175" i="45"/>
  <c r="M126" i="45"/>
  <c r="X86" i="45"/>
  <c r="R90" i="45"/>
  <c r="R51" i="45"/>
  <c r="J70" i="81"/>
  <c r="K70" i="81" l="1"/>
  <c r="AB102" i="45"/>
  <c r="AB67" i="45"/>
  <c r="AB28" i="45"/>
  <c r="W35" i="50"/>
  <c r="J19" i="81"/>
  <c r="I58" i="80"/>
  <c r="H73" i="80"/>
  <c r="S9" i="45"/>
  <c r="S7" i="46"/>
  <c r="AB38" i="47"/>
  <c r="AC38" i="47" s="1"/>
  <c r="AD38" i="47" s="1"/>
  <c r="AE38" i="47" s="1"/>
  <c r="AF38" i="47" s="1"/>
  <c r="AF46" i="45"/>
  <c r="Q427" i="48"/>
  <c r="Q398" i="48"/>
  <c r="Q429" i="48" s="1"/>
  <c r="K23" i="79"/>
  <c r="N120" i="50"/>
  <c r="P535" i="48"/>
  <c r="Q536" i="48"/>
  <c r="Q535" i="48" s="1"/>
  <c r="T20" i="50"/>
  <c r="R437" i="48"/>
  <c r="R436" i="48" s="1"/>
  <c r="R20" i="48"/>
  <c r="R396" i="48" s="1"/>
  <c r="S440" i="48"/>
  <c r="W32" i="45"/>
  <c r="W31" i="45" s="1"/>
  <c r="W217" i="45" s="1"/>
  <c r="W69" i="45"/>
  <c r="Q43" i="45"/>
  <c r="L8" i="50"/>
  <c r="L13" i="50" s="1"/>
  <c r="I10" i="79"/>
  <c r="Q81" i="45"/>
  <c r="I14" i="79" s="1"/>
  <c r="AA1169" i="48"/>
  <c r="Y1169" i="48"/>
  <c r="Z1169" i="48"/>
  <c r="AH1169" i="48"/>
  <c r="AD1169" i="48"/>
  <c r="X1169" i="48"/>
  <c r="X595" i="48" s="1"/>
  <c r="AI1169" i="48"/>
  <c r="AE1169" i="48"/>
  <c r="AG1169" i="48"/>
  <c r="AF1169" i="48"/>
  <c r="AC1169" i="48"/>
  <c r="AB1169" i="48"/>
  <c r="AA1151" i="48"/>
  <c r="AA1165" i="48"/>
  <c r="Z1147" i="48"/>
  <c r="Z1165" i="48"/>
  <c r="Y1161" i="48"/>
  <c r="X1156" i="48"/>
  <c r="X582" i="48" s="1"/>
  <c r="AA1156" i="48"/>
  <c r="Z1151" i="48"/>
  <c r="Y1147" i="48"/>
  <c r="Y1165" i="48"/>
  <c r="X1161" i="48"/>
  <c r="X587" i="48" s="1"/>
  <c r="AA1147" i="48"/>
  <c r="AA1161" i="48"/>
  <c r="Z1156" i="48"/>
  <c r="Y1151" i="48"/>
  <c r="X1147" i="48"/>
  <c r="X573" i="48" s="1"/>
  <c r="X1165" i="48"/>
  <c r="X591" i="48" s="1"/>
  <c r="Z1161" i="48"/>
  <c r="Y1156" i="48"/>
  <c r="X1151" i="48"/>
  <c r="X577" i="48" s="1"/>
  <c r="AB1160" i="48"/>
  <c r="AH1165" i="48"/>
  <c r="AF1155" i="48"/>
  <c r="AD1150" i="48"/>
  <c r="AC1159" i="48"/>
  <c r="X1168" i="48"/>
  <c r="X594" i="48" s="1"/>
  <c r="X34" i="50" s="1"/>
  <c r="AE1147" i="48"/>
  <c r="AB1155" i="48"/>
  <c r="Z1154" i="48"/>
  <c r="AG1160" i="48"/>
  <c r="AD1167" i="48"/>
  <c r="AG1154" i="48"/>
  <c r="AF1150" i="48"/>
  <c r="Y1146" i="48"/>
  <c r="AF1167" i="48"/>
  <c r="X1167" i="48"/>
  <c r="X593" i="48" s="1"/>
  <c r="X33" i="50" s="1"/>
  <c r="X35" i="50" s="1"/>
  <c r="X127" i="50" s="1"/>
  <c r="AB1147" i="48"/>
  <c r="AE1170" i="48"/>
  <c r="AE1161" i="48"/>
  <c r="X1170" i="48"/>
  <c r="X596" i="48" s="1"/>
  <c r="X597" i="48" s="1"/>
  <c r="AE1146" i="48"/>
  <c r="X1155" i="48"/>
  <c r="X581" i="48" s="1"/>
  <c r="AC73" i="45" s="1"/>
  <c r="Y1150" i="48"/>
  <c r="AC1160" i="48"/>
  <c r="AI1167" i="48"/>
  <c r="AF1156" i="48"/>
  <c r="AB1146" i="48"/>
  <c r="AE1165" i="48"/>
  <c r="AF1160" i="48"/>
  <c r="AG1161" i="48"/>
  <c r="AA1168" i="48"/>
  <c r="AB1154" i="48"/>
  <c r="AI1164" i="48"/>
  <c r="Y1154" i="48"/>
  <c r="AG1168" i="48"/>
  <c r="AB1165" i="48"/>
  <c r="AG1155" i="48"/>
  <c r="AC1150" i="48"/>
  <c r="Z1146" i="48"/>
  <c r="AD1161" i="48"/>
  <c r="AH1170" i="48"/>
  <c r="AD1168" i="48"/>
  <c r="AH1161" i="48"/>
  <c r="AB1170" i="48"/>
  <c r="AH1154" i="48"/>
  <c r="AF1159" i="48"/>
  <c r="AC1154" i="48"/>
  <c r="AH1146" i="48"/>
  <c r="Z1150" i="48"/>
  <c r="Y1159" i="48"/>
  <c r="AH1151" i="48"/>
  <c r="AB1164" i="48"/>
  <c r="AC1151" i="48"/>
  <c r="Y1160" i="48"/>
  <c r="AF1165" i="48"/>
  <c r="Y1170" i="48"/>
  <c r="AA1164" i="48"/>
  <c r="AE1164" i="48"/>
  <c r="AI1154" i="48"/>
  <c r="AD1160" i="48"/>
  <c r="AF1147" i="48"/>
  <c r="AE1156" i="48"/>
  <c r="AC1147" i="48"/>
  <c r="AD1151" i="48"/>
  <c r="AI1160" i="48"/>
  <c r="AI1165" i="48"/>
  <c r="AC1165" i="48"/>
  <c r="AA1150" i="48"/>
  <c r="Y1164" i="48"/>
  <c r="Z1160" i="48"/>
  <c r="AG1147" i="48"/>
  <c r="AG1151" i="48"/>
  <c r="AD1146" i="48"/>
  <c r="AI1155" i="48"/>
  <c r="AE1160" i="48"/>
  <c r="AB1167" i="48"/>
  <c r="AI1151" i="48"/>
  <c r="AG1150" i="48"/>
  <c r="AB1150" i="48"/>
  <c r="Z1164" i="48"/>
  <c r="X1160" i="48"/>
  <c r="X586" i="48" s="1"/>
  <c r="AC64" i="45" s="1"/>
  <c r="AB1168" i="48"/>
  <c r="AH1156" i="48"/>
  <c r="AA1170" i="48"/>
  <c r="X1164" i="48"/>
  <c r="X590" i="48" s="1"/>
  <c r="AC39" i="45" s="1"/>
  <c r="AC76" i="45" s="1"/>
  <c r="AC114" i="45" s="1"/>
  <c r="AA1159" i="48"/>
  <c r="AE1154" i="48"/>
  <c r="AA1155" i="48"/>
  <c r="AD1159" i="48"/>
  <c r="Z1167" i="48"/>
  <c r="AB1156" i="48"/>
  <c r="AH1155" i="48"/>
  <c r="AD1165" i="48"/>
  <c r="AB1161" i="48"/>
  <c r="Y1167" i="48"/>
  <c r="AD1154" i="48"/>
  <c r="X1154" i="48"/>
  <c r="X580" i="48" s="1"/>
  <c r="AC36" i="45" s="1"/>
  <c r="X1146" i="48"/>
  <c r="X572" i="48" s="1"/>
  <c r="AC30" i="45" s="1"/>
  <c r="X1150" i="48"/>
  <c r="X576" i="48" s="1"/>
  <c r="AC33" i="45" s="1"/>
  <c r="AC70" i="45" s="1"/>
  <c r="AC108" i="45" s="1"/>
  <c r="X1159" i="48"/>
  <c r="X585" i="48" s="1"/>
  <c r="AC27" i="45" s="1"/>
  <c r="AE1168" i="48"/>
  <c r="AF1161" i="48"/>
  <c r="AD1155" i="48"/>
  <c r="AB1159" i="48"/>
  <c r="AA1167" i="48"/>
  <c r="AE1151" i="48"/>
  <c r="AE1155" i="48"/>
  <c r="AH1164" i="48"/>
  <c r="AI1159" i="48"/>
  <c r="AI1147" i="48"/>
  <c r="AG1167" i="48"/>
  <c r="AC1155" i="48"/>
  <c r="AD1170" i="48"/>
  <c r="Z1155" i="48"/>
  <c r="AI1170" i="48"/>
  <c r="AC1168" i="48"/>
  <c r="AH1147" i="48"/>
  <c r="AD1164" i="48"/>
  <c r="AE1150" i="48"/>
  <c r="AA1160" i="48"/>
  <c r="AG1170" i="48"/>
  <c r="AG1156" i="48"/>
  <c r="AF1151" i="48"/>
  <c r="AG1164" i="48"/>
  <c r="AI1150" i="48"/>
  <c r="AC1161" i="48"/>
  <c r="Z1170" i="48"/>
  <c r="AC1156" i="48"/>
  <c r="AH1150" i="48"/>
  <c r="AG1159" i="48"/>
  <c r="Y1168" i="48"/>
  <c r="AC1146" i="48"/>
  <c r="AA1154" i="48"/>
  <c r="AH1159" i="48"/>
  <c r="AF1168" i="48"/>
  <c r="Z1168" i="48"/>
  <c r="AF1154" i="48"/>
  <c r="AE1159" i="48"/>
  <c r="AE1167" i="48"/>
  <c r="AH1168" i="48"/>
  <c r="AB1151" i="48"/>
  <c r="AA1146" i="48"/>
  <c r="AD1147" i="48"/>
  <c r="Z1159" i="48"/>
  <c r="AI1168" i="48"/>
  <c r="AI1156" i="48"/>
  <c r="AG1146" i="48"/>
  <c r="AF1164" i="48"/>
  <c r="AF1170" i="48"/>
  <c r="AH1167" i="48"/>
  <c r="AI1161" i="48"/>
  <c r="AC1170" i="48"/>
  <c r="AD1156" i="48"/>
  <c r="Y1155" i="48"/>
  <c r="AC1167" i="48"/>
  <c r="AG1165" i="48"/>
  <c r="AF1146" i="48"/>
  <c r="AC1164" i="48"/>
  <c r="AI1146" i="48"/>
  <c r="AH1160" i="48"/>
  <c r="Q109" i="50"/>
  <c r="L118" i="45"/>
  <c r="L139" i="45"/>
  <c r="L150" i="45" s="1"/>
  <c r="G25" i="50"/>
  <c r="V72" i="45"/>
  <c r="H33" i="79"/>
  <c r="K23" i="50"/>
  <c r="X186" i="48"/>
  <c r="L26" i="50"/>
  <c r="I5" i="79"/>
  <c r="Q3" i="45"/>
  <c r="Q2" i="45"/>
  <c r="Q127" i="45"/>
  <c r="G6" i="1"/>
  <c r="R194" i="45"/>
  <c r="R216" i="45"/>
  <c r="V58" i="48"/>
  <c r="N115" i="50"/>
  <c r="M118" i="50"/>
  <c r="M119" i="50" s="1"/>
  <c r="X169" i="48"/>
  <c r="W171" i="48"/>
  <c r="V66" i="45"/>
  <c r="V29" i="45"/>
  <c r="V28" i="45" s="1"/>
  <c r="O114" i="50"/>
  <c r="N117" i="50"/>
  <c r="T154" i="45" s="1"/>
  <c r="H10" i="81"/>
  <c r="G49" i="81"/>
  <c r="G9" i="81"/>
  <c r="R202" i="45"/>
  <c r="R212" i="45"/>
  <c r="J55" i="80"/>
  <c r="I69" i="80"/>
  <c r="V110" i="48"/>
  <c r="U111" i="48"/>
  <c r="U537" i="48"/>
  <c r="D537" i="48" s="1"/>
  <c r="K41" i="80"/>
  <c r="R488" i="48"/>
  <c r="R487" i="48" s="1"/>
  <c r="R494" i="48"/>
  <c r="R493" i="48" s="1"/>
  <c r="W63" i="45" s="1"/>
  <c r="S15" i="45"/>
  <c r="S53" i="45" s="1"/>
  <c r="S13" i="46"/>
  <c r="H24" i="81"/>
  <c r="G22" i="81"/>
  <c r="AA489" i="48"/>
  <c r="AA495" i="48"/>
  <c r="AA102" i="45"/>
  <c r="Y185" i="48"/>
  <c r="Y511" i="48" s="1"/>
  <c r="Y184" i="48"/>
  <c r="Y187" i="48"/>
  <c r="Y188" i="48"/>
  <c r="Y183" i="48"/>
  <c r="Y182" i="48"/>
  <c r="Y454" i="48" s="1"/>
  <c r="Y181" i="48"/>
  <c r="U108" i="50"/>
  <c r="S87" i="45"/>
  <c r="S48" i="45"/>
  <c r="AB208" i="45"/>
  <c r="U17" i="50"/>
  <c r="U19" i="50" s="1"/>
  <c r="AA119" i="45"/>
  <c r="S536" i="48"/>
  <c r="S535" i="48" s="1"/>
  <c r="S15" i="48"/>
  <c r="L7" i="79"/>
  <c r="V62" i="45"/>
  <c r="V101" i="45"/>
  <c r="I51" i="81"/>
  <c r="X180" i="48"/>
  <c r="K37" i="80"/>
  <c r="S61" i="45"/>
  <c r="S133" i="45"/>
  <c r="S144" i="45" s="1"/>
  <c r="S100" i="45"/>
  <c r="W538" i="48"/>
  <c r="W175" i="48"/>
  <c r="X174" i="48"/>
  <c r="R6" i="45"/>
  <c r="J58" i="81" s="1"/>
  <c r="R5" i="46"/>
  <c r="T99" i="45"/>
  <c r="L15" i="79" s="1"/>
  <c r="L11" i="79"/>
  <c r="Y238" i="48"/>
  <c r="X239" i="48"/>
  <c r="V74" i="45"/>
  <c r="V112" i="45" s="1"/>
  <c r="V113" i="45"/>
  <c r="O133" i="50"/>
  <c r="O103" i="50" s="1"/>
  <c r="N102" i="50"/>
  <c r="R84" i="45"/>
  <c r="R45" i="45"/>
  <c r="U65" i="45"/>
  <c r="U103" i="45" s="1"/>
  <c r="U104" i="45"/>
  <c r="W75" i="45"/>
  <c r="W38" i="45"/>
  <c r="W37" i="45" s="1"/>
  <c r="W221" i="45" s="1"/>
  <c r="R467" i="48"/>
  <c r="R466" i="48" s="1"/>
  <c r="W35" i="45" s="1"/>
  <c r="W34" i="45" s="1"/>
  <c r="R473" i="48"/>
  <c r="R472" i="48" s="1"/>
  <c r="W72" i="45" s="1"/>
  <c r="AA474" i="48"/>
  <c r="AA468" i="48"/>
  <c r="AA84" i="48"/>
  <c r="AA67" i="45"/>
  <c r="AA28" i="45"/>
  <c r="Y46" i="48"/>
  <c r="Y47" i="48" s="1"/>
  <c r="X51" i="48"/>
  <c r="Y42" i="48"/>
  <c r="X43" i="48"/>
  <c r="S28" i="48"/>
  <c r="S27" i="48"/>
  <c r="S26" i="48" s="1"/>
  <c r="S397" i="48" s="1"/>
  <c r="S428" i="48" s="1"/>
  <c r="S22" i="48"/>
  <c r="S452" i="48" s="1"/>
  <c r="S451" i="48" s="1"/>
  <c r="S24" i="48"/>
  <c r="S21" i="48"/>
  <c r="S23" i="48"/>
  <c r="S25" i="48"/>
  <c r="S509" i="48" s="1"/>
  <c r="S508" i="48" s="1"/>
  <c r="U41" i="47"/>
  <c r="Z49" i="45" s="1"/>
  <c r="V40" i="47"/>
  <c r="J54" i="81"/>
  <c r="Y86" i="45"/>
  <c r="L70" i="81"/>
  <c r="P88" i="50"/>
  <c r="P87" i="50"/>
  <c r="P92" i="50"/>
  <c r="P42" i="80"/>
  <c r="R88" i="45"/>
  <c r="R137" i="45"/>
  <c r="R148" i="45" s="1"/>
  <c r="M125" i="45"/>
  <c r="M175" i="45"/>
  <c r="N126" i="45"/>
  <c r="V68" i="45"/>
  <c r="V107" i="45"/>
  <c r="AA170" i="48"/>
  <c r="Z179" i="48"/>
  <c r="M34" i="80"/>
  <c r="L38" i="80"/>
  <c r="D1174" i="48"/>
  <c r="E1174" i="48"/>
  <c r="C1204" i="48"/>
  <c r="P110" i="50"/>
  <c r="W54" i="48"/>
  <c r="W57" i="48"/>
  <c r="W60" i="48"/>
  <c r="W59" i="48"/>
  <c r="W58" i="48" s="1"/>
  <c r="W56" i="48"/>
  <c r="W55" i="48"/>
  <c r="W53" i="48"/>
  <c r="W52" i="48" s="1"/>
  <c r="Q32" i="79"/>
  <c r="T125" i="50"/>
  <c r="T19" i="48"/>
  <c r="U10" i="48"/>
  <c r="T11" i="48"/>
  <c r="T14" i="48"/>
  <c r="K68" i="81"/>
  <c r="J67" i="81"/>
  <c r="T12" i="46"/>
  <c r="S10" i="45"/>
  <c r="V25" i="45"/>
  <c r="V206" i="45"/>
  <c r="J44" i="80"/>
  <c r="X496" i="48"/>
  <c r="X490" i="48"/>
  <c r="X469" i="48"/>
  <c r="X475" i="48"/>
  <c r="J59" i="81"/>
  <c r="V538" i="48"/>
  <c r="U25" i="45"/>
  <c r="U100" i="45" s="1"/>
  <c r="U206" i="45"/>
  <c r="V52" i="48"/>
  <c r="W36" i="50"/>
  <c r="S49" i="79"/>
  <c r="V130" i="50"/>
  <c r="AE83" i="45"/>
  <c r="U135" i="45"/>
  <c r="U146" i="45" s="1"/>
  <c r="U106" i="45"/>
  <c r="U133" i="45"/>
  <c r="R536" i="48"/>
  <c r="R535" i="48" s="1"/>
  <c r="X540" i="48"/>
  <c r="X271" i="48"/>
  <c r="Y270" i="48"/>
  <c r="R26" i="48"/>
  <c r="R397" i="48" s="1"/>
  <c r="R428" i="48" s="1"/>
  <c r="P13" i="81"/>
  <c r="O11" i="81"/>
  <c r="AA90" i="48"/>
  <c r="U144" i="45" l="1"/>
  <c r="AC208" i="45"/>
  <c r="AC67" i="45"/>
  <c r="AC28" i="45"/>
  <c r="P133" i="50"/>
  <c r="P103" i="50"/>
  <c r="O102" i="50"/>
  <c r="AC102" i="45"/>
  <c r="X32" i="45"/>
  <c r="X31" i="45" s="1"/>
  <c r="X69" i="45"/>
  <c r="W71" i="45"/>
  <c r="W109" i="45" s="1"/>
  <c r="W110" i="45"/>
  <c r="Z238" i="48"/>
  <c r="Y239" i="48"/>
  <c r="Y490" i="48"/>
  <c r="Y496" i="48"/>
  <c r="S90" i="45"/>
  <c r="S51" i="45"/>
  <c r="K43" i="80"/>
  <c r="K45" i="80"/>
  <c r="P114" i="50"/>
  <c r="Q114" i="50" s="1"/>
  <c r="O117" i="50"/>
  <c r="U154" i="45" s="1"/>
  <c r="Y169" i="48"/>
  <c r="X171" i="48"/>
  <c r="J17" i="81"/>
  <c r="G126" i="50"/>
  <c r="G28" i="50"/>
  <c r="Q80" i="45"/>
  <c r="I13" i="79" s="1"/>
  <c r="I9" i="79"/>
  <c r="Q78" i="45"/>
  <c r="R427" i="48"/>
  <c r="R398" i="48"/>
  <c r="R429" i="48" s="1"/>
  <c r="I61" i="80"/>
  <c r="I70" i="80"/>
  <c r="AC111" i="45"/>
  <c r="V210" i="45"/>
  <c r="V205" i="45"/>
  <c r="Q110" i="50"/>
  <c r="X75" i="45"/>
  <c r="X38" i="45"/>
  <c r="X37" i="45" s="1"/>
  <c r="U24" i="45"/>
  <c r="U215" i="45"/>
  <c r="U169" i="45"/>
  <c r="X57" i="48"/>
  <c r="X55" i="48"/>
  <c r="X53" i="48"/>
  <c r="X59" i="48"/>
  <c r="X58" i="48" s="1"/>
  <c r="X56" i="48"/>
  <c r="X54" i="48"/>
  <c r="X60" i="48"/>
  <c r="J14" i="81"/>
  <c r="R5" i="45"/>
  <c r="M11" i="50"/>
  <c r="M12" i="50"/>
  <c r="M10" i="50"/>
  <c r="J16" i="81" s="1"/>
  <c r="J6" i="79"/>
  <c r="M9" i="50"/>
  <c r="K20" i="81" s="1"/>
  <c r="J15" i="81"/>
  <c r="J60" i="81"/>
  <c r="S99" i="45"/>
  <c r="K15" i="79" s="1"/>
  <c r="K11" i="79"/>
  <c r="V17" i="50"/>
  <c r="V19" i="50" s="1"/>
  <c r="AB119" i="45"/>
  <c r="V108" i="50"/>
  <c r="Y475" i="48"/>
  <c r="Y469" i="48"/>
  <c r="W62" i="45"/>
  <c r="W101" i="45"/>
  <c r="J57" i="80"/>
  <c r="J59" i="80"/>
  <c r="J71" i="80" s="1"/>
  <c r="J67" i="80"/>
  <c r="J56" i="81"/>
  <c r="W68" i="45"/>
  <c r="W107" i="45"/>
  <c r="W66" i="45"/>
  <c r="W29" i="45"/>
  <c r="W28" i="45" s="1"/>
  <c r="S6" i="46"/>
  <c r="S7" i="45"/>
  <c r="T9" i="46"/>
  <c r="U205" i="45"/>
  <c r="U210" i="45"/>
  <c r="V10" i="48"/>
  <c r="U19" i="48"/>
  <c r="U11" i="48"/>
  <c r="U14" i="48"/>
  <c r="N125" i="45"/>
  <c r="N175" i="45"/>
  <c r="O126" i="45"/>
  <c r="Y51" i="48"/>
  <c r="Z42" i="48"/>
  <c r="Z46" i="48"/>
  <c r="Z47" i="48" s="1"/>
  <c r="Y43" i="48"/>
  <c r="L68" i="81"/>
  <c r="K67" i="81"/>
  <c r="M36" i="80"/>
  <c r="AA179" i="48"/>
  <c r="Q13" i="81"/>
  <c r="Q11" i="81" s="1"/>
  <c r="P11" i="81"/>
  <c r="U61" i="45"/>
  <c r="X36" i="50"/>
  <c r="S218" i="45"/>
  <c r="S172" i="45"/>
  <c r="T536" i="48"/>
  <c r="T535" i="48" s="1"/>
  <c r="T15" i="48"/>
  <c r="H25" i="50"/>
  <c r="M139" i="45"/>
  <c r="M150" i="45" s="1"/>
  <c r="M118" i="45"/>
  <c r="P93" i="50"/>
  <c r="Q93" i="50" s="1"/>
  <c r="H14" i="1"/>
  <c r="V41" i="47"/>
  <c r="AA49" i="45" s="1"/>
  <c r="W40" i="47"/>
  <c r="S437" i="48"/>
  <c r="S436" i="48" s="1"/>
  <c r="S20" i="48"/>
  <c r="S396" i="48" s="1"/>
  <c r="T440" i="48"/>
  <c r="R44" i="45"/>
  <c r="R134" i="45"/>
  <c r="R145" i="45" s="1"/>
  <c r="R82" i="45"/>
  <c r="X538" i="48"/>
  <c r="X175" i="48"/>
  <c r="Y174" i="48"/>
  <c r="J55" i="81"/>
  <c r="K40" i="80"/>
  <c r="R32" i="79"/>
  <c r="U125" i="50"/>
  <c r="J51" i="81"/>
  <c r="I24" i="81"/>
  <c r="H22" i="81"/>
  <c r="W26" i="45"/>
  <c r="I10" i="81"/>
  <c r="H49" i="81"/>
  <c r="H9" i="81"/>
  <c r="V65" i="45"/>
  <c r="V103" i="45" s="1"/>
  <c r="V104" i="45"/>
  <c r="O115" i="50"/>
  <c r="N118" i="50"/>
  <c r="N119" i="50" s="1"/>
  <c r="L117" i="45"/>
  <c r="D18" i="79" s="1"/>
  <c r="D17" i="79"/>
  <c r="L168" i="45"/>
  <c r="L132" i="45"/>
  <c r="S47" i="45"/>
  <c r="S204" i="45"/>
  <c r="AB65" i="45"/>
  <c r="AB103" i="45" s="1"/>
  <c r="AB105" i="45"/>
  <c r="Y540" i="48"/>
  <c r="Z270" i="48"/>
  <c r="Y271" i="48"/>
  <c r="Z185" i="48"/>
  <c r="Z511" i="48" s="1"/>
  <c r="Z183" i="48"/>
  <c r="Z188" i="48"/>
  <c r="Z187" i="48"/>
  <c r="Z182" i="48"/>
  <c r="Z454" i="48" s="1"/>
  <c r="Z181" i="48"/>
  <c r="Z184" i="48"/>
  <c r="P46" i="80"/>
  <c r="P111" i="50"/>
  <c r="AA65" i="45"/>
  <c r="AA103" i="45" s="1"/>
  <c r="AA105" i="45"/>
  <c r="V24" i="45"/>
  <c r="V215" i="45"/>
  <c r="V169" i="45"/>
  <c r="T21" i="48"/>
  <c r="T23" i="48"/>
  <c r="T25" i="48"/>
  <c r="T509" i="48" s="1"/>
  <c r="T508" i="48" s="1"/>
  <c r="T24" i="48"/>
  <c r="T22" i="48"/>
  <c r="T452" i="48" s="1"/>
  <c r="T451" i="48" s="1"/>
  <c r="T27" i="48"/>
  <c r="T28" i="48"/>
  <c r="D1204" i="48"/>
  <c r="C1234" i="48"/>
  <c r="E1204" i="48"/>
  <c r="P89" i="50"/>
  <c r="P49" i="80"/>
  <c r="P50" i="80" s="1"/>
  <c r="Q48" i="80" s="1"/>
  <c r="P112" i="50"/>
  <c r="Q112" i="50" s="1"/>
  <c r="M75" i="81"/>
  <c r="S473" i="48"/>
  <c r="S472" i="48" s="1"/>
  <c r="X72" i="45" s="1"/>
  <c r="S467" i="48"/>
  <c r="S466" i="48" s="1"/>
  <c r="X35" i="45" s="1"/>
  <c r="X34" i="45" s="1"/>
  <c r="J47" i="80"/>
  <c r="T10" i="46"/>
  <c r="T12" i="45"/>
  <c r="T50" i="45" s="1"/>
  <c r="AA1199" i="48"/>
  <c r="Z1199" i="48"/>
  <c r="AG1199" i="48"/>
  <c r="AC1199" i="48"/>
  <c r="Y1199" i="48"/>
  <c r="AH1199" i="48"/>
  <c r="AD1199" i="48"/>
  <c r="AF1199" i="48"/>
  <c r="AE1199" i="48"/>
  <c r="AJ1199" i="48"/>
  <c r="AB1199" i="48"/>
  <c r="AI1199" i="48"/>
  <c r="Z1191" i="48"/>
  <c r="Y1186" i="48"/>
  <c r="Y582" i="48" s="1"/>
  <c r="AA1181" i="48"/>
  <c r="Z1177" i="48"/>
  <c r="Z1195" i="48"/>
  <c r="Y1191" i="48"/>
  <c r="Y587" i="48" s="1"/>
  <c r="AA1177" i="48"/>
  <c r="AA1186" i="48"/>
  <c r="AA1195" i="48"/>
  <c r="Z1181" i="48"/>
  <c r="Y1177" i="48"/>
  <c r="Y573" i="48" s="1"/>
  <c r="Y1195" i="48"/>
  <c r="Y591" i="48" s="1"/>
  <c r="AA1191" i="48"/>
  <c r="Z1186" i="48"/>
  <c r="Y1181" i="48"/>
  <c r="Y577" i="48" s="1"/>
  <c r="AH1186" i="48"/>
  <c r="AJ1177" i="48"/>
  <c r="AH1185" i="48"/>
  <c r="AE1200" i="48"/>
  <c r="AE1189" i="48"/>
  <c r="AJ1181" i="48"/>
  <c r="AE1197" i="48"/>
  <c r="AE1185" i="48"/>
  <c r="AD1181" i="48"/>
  <c r="AG1190" i="48"/>
  <c r="AF1177" i="48"/>
  <c r="AB1195" i="48"/>
  <c r="AH1184" i="48"/>
  <c r="AI1194" i="48"/>
  <c r="AA1194" i="48"/>
  <c r="AG1177" i="48"/>
  <c r="AB1177" i="48"/>
  <c r="AD1176" i="48"/>
  <c r="Y1185" i="48"/>
  <c r="AF1200" i="48"/>
  <c r="AC1190" i="48"/>
  <c r="AG1198" i="48"/>
  <c r="AG1186" i="48"/>
  <c r="AC1177" i="48"/>
  <c r="AC1180" i="48"/>
  <c r="Y1189" i="48"/>
  <c r="Y585" i="48" s="1"/>
  <c r="AD27" i="45" s="1"/>
  <c r="AH1200" i="48"/>
  <c r="AA1200" i="48"/>
  <c r="AE1184" i="48"/>
  <c r="AD1180" i="48"/>
  <c r="AG1189" i="48"/>
  <c r="Y1190" i="48"/>
  <c r="Y586" i="48" s="1"/>
  <c r="AD64" i="45" s="1"/>
  <c r="Y1198" i="48"/>
  <c r="Y594" i="48" s="1"/>
  <c r="Y34" i="50" s="1"/>
  <c r="AJ1197" i="48"/>
  <c r="AD1177" i="48"/>
  <c r="Y1176" i="48"/>
  <c r="Y572" i="48" s="1"/>
  <c r="AD30" i="45" s="1"/>
  <c r="AJ1184" i="48"/>
  <c r="AE1190" i="48"/>
  <c r="AB1190" i="48"/>
  <c r="AF1181" i="48"/>
  <c r="AD1194" i="48"/>
  <c r="Y1180" i="48"/>
  <c r="Y576" i="48" s="1"/>
  <c r="AD33" i="45" s="1"/>
  <c r="AD70" i="45" s="1"/>
  <c r="AD108" i="45" s="1"/>
  <c r="AJ1200" i="48"/>
  <c r="Z1198" i="48"/>
  <c r="AB1197" i="48"/>
  <c r="AB1200" i="48"/>
  <c r="AF1194" i="48"/>
  <c r="AG1200" i="48"/>
  <c r="AB1181" i="48"/>
  <c r="AJ1198" i="48"/>
  <c r="AD1184" i="48"/>
  <c r="AI1185" i="48"/>
  <c r="AA1184" i="48"/>
  <c r="Z1189" i="48"/>
  <c r="AG1197" i="48"/>
  <c r="AD1195" i="48"/>
  <c r="AC1184" i="48"/>
  <c r="AE1181" i="48"/>
  <c r="AB1191" i="48"/>
  <c r="AH1197" i="48"/>
  <c r="AI1191" i="48"/>
  <c r="AH1180" i="48"/>
  <c r="AC1189" i="48"/>
  <c r="AF1197" i="48"/>
  <c r="AE1198" i="48"/>
  <c r="AD1185" i="48"/>
  <c r="AI1176" i="48"/>
  <c r="AA1180" i="48"/>
  <c r="AI1195" i="48"/>
  <c r="AD1197" i="48"/>
  <c r="AD1186" i="48"/>
  <c r="AG1180" i="48"/>
  <c r="AD1189" i="48"/>
  <c r="AH1191" i="48"/>
  <c r="AC1185" i="48"/>
  <c r="Z1184" i="48"/>
  <c r="AI1200" i="48"/>
  <c r="Z1197" i="48"/>
  <c r="AH1198" i="48"/>
  <c r="AJ1186" i="48"/>
  <c r="AE1194" i="48"/>
  <c r="AI1189" i="48"/>
  <c r="AD1191" i="48"/>
  <c r="AD1198" i="48"/>
  <c r="Z1200" i="48"/>
  <c r="AB1194" i="48"/>
  <c r="Z1194" i="48"/>
  <c r="AD1190" i="48"/>
  <c r="AC1198" i="48"/>
  <c r="Y1200" i="48"/>
  <c r="Y596" i="48" s="1"/>
  <c r="Y597" i="48" s="1"/>
  <c r="AH1194" i="48"/>
  <c r="AG1194" i="48"/>
  <c r="Z1185" i="48"/>
  <c r="AH1177" i="48"/>
  <c r="AI1177" i="48"/>
  <c r="AF1185" i="48"/>
  <c r="AF1180" i="48"/>
  <c r="AE1195" i="48"/>
  <c r="AC1191" i="48"/>
  <c r="AJ1191" i="48"/>
  <c r="AC1197" i="48"/>
  <c r="AB1186" i="48"/>
  <c r="AI1180" i="48"/>
  <c r="AF1189" i="48"/>
  <c r="AG1191" i="48"/>
  <c r="AF1198" i="48"/>
  <c r="AC1181" i="48"/>
  <c r="Y1184" i="48"/>
  <c r="Y580" i="48" s="1"/>
  <c r="AD36" i="45" s="1"/>
  <c r="AA1189" i="48"/>
  <c r="AF1191" i="48"/>
  <c r="AG1181" i="48"/>
  <c r="AC1194" i="48"/>
  <c r="AB1180" i="48"/>
  <c r="AH1190" i="48"/>
  <c r="AF1184" i="48"/>
  <c r="AG1176" i="48"/>
  <c r="AE1186" i="48"/>
  <c r="AJ1189" i="48"/>
  <c r="AF1186" i="48"/>
  <c r="Y1197" i="48"/>
  <c r="Y593" i="48" s="1"/>
  <c r="Y33" i="50" s="1"/>
  <c r="Y35" i="50" s="1"/>
  <c r="Y127" i="50" s="1"/>
  <c r="AI1197" i="48"/>
  <c r="AG1184" i="48"/>
  <c r="AB1185" i="48"/>
  <c r="AA1190" i="48"/>
  <c r="AC1195" i="48"/>
  <c r="AJ1195" i="48"/>
  <c r="AG1185" i="48"/>
  <c r="AE1177" i="48"/>
  <c r="AJ1185" i="48"/>
  <c r="AI1190" i="48"/>
  <c r="AH1195" i="48"/>
  <c r="AH1176" i="48"/>
  <c r="Y1194" i="48"/>
  <c r="Y590" i="48" s="1"/>
  <c r="AD39" i="45" s="1"/>
  <c r="AD76" i="45" s="1"/>
  <c r="AD114" i="45" s="1"/>
  <c r="AA1176" i="48"/>
  <c r="AA1197" i="48"/>
  <c r="AB1198" i="48"/>
  <c r="AE1176" i="48"/>
  <c r="AB1176" i="48"/>
  <c r="Z1176" i="48"/>
  <c r="AE1191" i="48"/>
  <c r="AI1181" i="48"/>
  <c r="AC1200" i="48"/>
  <c r="AI1184" i="48"/>
  <c r="AJ1180" i="48"/>
  <c r="AJ1190" i="48"/>
  <c r="AI1186" i="48"/>
  <c r="AG1195" i="48"/>
  <c r="AF1176" i="48"/>
  <c r="AH1189" i="48"/>
  <c r="AB1189" i="48"/>
  <c r="AH1181" i="48"/>
  <c r="AC1186" i="48"/>
  <c r="AB1184" i="48"/>
  <c r="AF1195" i="48"/>
  <c r="AF1190" i="48"/>
  <c r="AA1185" i="48"/>
  <c r="AA1198" i="48"/>
  <c r="AD1200" i="48"/>
  <c r="AE1180" i="48"/>
  <c r="Z1180" i="48"/>
  <c r="Z1190" i="48"/>
  <c r="AJ1176" i="48"/>
  <c r="AI1198" i="48"/>
  <c r="AC1176" i="48"/>
  <c r="AJ1194" i="48"/>
  <c r="V135" i="45"/>
  <c r="V146" i="45" s="1"/>
  <c r="V106" i="45"/>
  <c r="P82" i="50"/>
  <c r="Z86" i="45"/>
  <c r="S488" i="48"/>
  <c r="S487" i="48" s="1"/>
  <c r="X26" i="45" s="1"/>
  <c r="S494" i="48"/>
  <c r="S493" i="48" s="1"/>
  <c r="X63" i="45" s="1"/>
  <c r="W74" i="45"/>
  <c r="W112" i="45" s="1"/>
  <c r="W113" i="45"/>
  <c r="V133" i="45"/>
  <c r="V144" i="45" s="1"/>
  <c r="V100" i="45"/>
  <c r="S85" i="45"/>
  <c r="S136" i="45"/>
  <c r="S147" i="45" s="1"/>
  <c r="Y180" i="48"/>
  <c r="Y186" i="48"/>
  <c r="T15" i="46"/>
  <c r="S13" i="45"/>
  <c r="S219" i="45" s="1"/>
  <c r="W110" i="48"/>
  <c r="V111" i="48"/>
  <c r="V537" i="48"/>
  <c r="L23" i="79"/>
  <c r="O120" i="50"/>
  <c r="V71" i="45"/>
  <c r="V109" i="45" s="1"/>
  <c r="V110" i="45"/>
  <c r="R109" i="50"/>
  <c r="Y581" i="48"/>
  <c r="AD73" i="45" s="1"/>
  <c r="Y595" i="48"/>
  <c r="I31" i="79"/>
  <c r="L14" i="50"/>
  <c r="L124" i="50"/>
  <c r="L22" i="50"/>
  <c r="L23" i="50" s="1"/>
  <c r="G8" i="1"/>
  <c r="U20" i="50"/>
  <c r="V20" i="50" s="1"/>
  <c r="AF83" i="45"/>
  <c r="T37" i="79"/>
  <c r="W127" i="50"/>
  <c r="P117" i="50" l="1"/>
  <c r="V154" i="45" s="1"/>
  <c r="V61" i="45"/>
  <c r="AD208" i="45"/>
  <c r="AD67" i="45"/>
  <c r="AD28" i="45"/>
  <c r="AD102" i="45"/>
  <c r="T87" i="45"/>
  <c r="T48" i="45"/>
  <c r="Q50" i="80"/>
  <c r="R48" i="80" s="1"/>
  <c r="Q52" i="80"/>
  <c r="Z1229" i="48"/>
  <c r="Z595" i="48" s="1"/>
  <c r="AA1229" i="48"/>
  <c r="AI1229" i="48"/>
  <c r="AE1229" i="48"/>
  <c r="AJ1229" i="48"/>
  <c r="AF1229" i="48"/>
  <c r="AB1229" i="48"/>
  <c r="AD1229" i="48"/>
  <c r="AK1229" i="48"/>
  <c r="AC1229" i="48"/>
  <c r="AH1229" i="48"/>
  <c r="AG1229" i="48"/>
  <c r="AA1221" i="48"/>
  <c r="AA1225" i="48"/>
  <c r="Z1216" i="48"/>
  <c r="Z582" i="48" s="1"/>
  <c r="Z1221" i="48"/>
  <c r="Z587" i="48" s="1"/>
  <c r="AA1207" i="48"/>
  <c r="AA1211" i="48"/>
  <c r="Z1207" i="48"/>
  <c r="Z573" i="48" s="1"/>
  <c r="Z1225" i="48"/>
  <c r="Z591" i="48" s="1"/>
  <c r="AA1216" i="48"/>
  <c r="Z1211" i="48"/>
  <c r="Z577" i="48" s="1"/>
  <c r="AG1211" i="48"/>
  <c r="AK1225" i="48"/>
  <c r="AC1224" i="48"/>
  <c r="Z1214" i="48"/>
  <c r="Z580" i="48" s="1"/>
  <c r="AE36" i="45" s="1"/>
  <c r="AA1210" i="48"/>
  <c r="AC1221" i="48"/>
  <c r="AI1227" i="48"/>
  <c r="AF1215" i="48"/>
  <c r="AC1215" i="48"/>
  <c r="AG1219" i="48"/>
  <c r="AI1225" i="48"/>
  <c r="AD1227" i="48"/>
  <c r="AD1207" i="48"/>
  <c r="AF1225" i="48"/>
  <c r="Z1219" i="48"/>
  <c r="Z585" i="48" s="1"/>
  <c r="AE27" i="45" s="1"/>
  <c r="AB1225" i="48"/>
  <c r="AJ1221" i="48"/>
  <c r="AG1214" i="48"/>
  <c r="Z1206" i="48"/>
  <c r="Z572" i="48" s="1"/>
  <c r="AE30" i="45" s="1"/>
  <c r="AJ1224" i="48"/>
  <c r="AD1219" i="48"/>
  <c r="AJ1211" i="48"/>
  <c r="AI1207" i="48"/>
  <c r="AE1215" i="48"/>
  <c r="AJ1210" i="48"/>
  <c r="AK1206" i="48"/>
  <c r="AC1219" i="48"/>
  <c r="AH1216" i="48"/>
  <c r="AD1228" i="48"/>
  <c r="AE1216" i="48"/>
  <c r="Z1210" i="48"/>
  <c r="Z576" i="48" s="1"/>
  <c r="AE33" i="45" s="1"/>
  <c r="AE70" i="45" s="1"/>
  <c r="AE108" i="45" s="1"/>
  <c r="AA1206" i="48"/>
  <c r="AC1207" i="48"/>
  <c r="AG1216" i="48"/>
  <c r="AI1224" i="48"/>
  <c r="AE1210" i="48"/>
  <c r="AA1214" i="48"/>
  <c r="AK1228" i="48"/>
  <c r="AA1227" i="48"/>
  <c r="AE1214" i="48"/>
  <c r="AF1207" i="48"/>
  <c r="AB1215" i="48"/>
  <c r="AA1228" i="48"/>
  <c r="AK1207" i="48"/>
  <c r="AI1214" i="48"/>
  <c r="AJ1219" i="48"/>
  <c r="AD1220" i="48"/>
  <c r="AK1216" i="48"/>
  <c r="AJ1225" i="48"/>
  <c r="AF1221" i="48"/>
  <c r="AI1211" i="48"/>
  <c r="AH1215" i="48"/>
  <c r="AD1214" i="48"/>
  <c r="AA1215" i="48"/>
  <c r="AJ1228" i="48"/>
  <c r="AJ1207" i="48"/>
  <c r="AD1230" i="48"/>
  <c r="AF1216" i="48"/>
  <c r="AB1214" i="48"/>
  <c r="AH1220" i="48"/>
  <c r="AB1230" i="48"/>
  <c r="AB1221" i="48"/>
  <c r="AD1211" i="48"/>
  <c r="AJ1206" i="48"/>
  <c r="AB1224" i="48"/>
  <c r="AG1220" i="48"/>
  <c r="AG1221" i="48"/>
  <c r="AH1211" i="48"/>
  <c r="AG1206" i="48"/>
  <c r="AK1210" i="48"/>
  <c r="AF1220" i="48"/>
  <c r="AG1207" i="48"/>
  <c r="AB1216" i="48"/>
  <c r="AE1230" i="48"/>
  <c r="AF1230" i="48"/>
  <c r="AE1219" i="48"/>
  <c r="AB1227" i="48"/>
  <c r="AH1221" i="48"/>
  <c r="Z1230" i="48"/>
  <c r="Z596" i="48" s="1"/>
  <c r="Z597" i="48" s="1"/>
  <c r="AE1224" i="48"/>
  <c r="AG1210" i="48"/>
  <c r="AK1215" i="48"/>
  <c r="AE1220" i="48"/>
  <c r="AH1225" i="48"/>
  <c r="AH1206" i="48"/>
  <c r="Z1224" i="48"/>
  <c r="Z590" i="48" s="1"/>
  <c r="AE39" i="45" s="1"/>
  <c r="AE76" i="45" s="1"/>
  <c r="AE114" i="45" s="1"/>
  <c r="AG1225" i="48"/>
  <c r="AA1220" i="48"/>
  <c r="AI1216" i="48"/>
  <c r="AI1206" i="48"/>
  <c r="Z1215" i="48"/>
  <c r="Z581" i="48" s="1"/>
  <c r="AE73" i="45" s="1"/>
  <c r="AA1224" i="48"/>
  <c r="AC1220" i="48"/>
  <c r="AC1225" i="48"/>
  <c r="AK1227" i="48"/>
  <c r="AF1214" i="48"/>
  <c r="AH1224" i="48"/>
  <c r="AD1210" i="48"/>
  <c r="AK1220" i="48"/>
  <c r="Z1228" i="48"/>
  <c r="Z594" i="48" s="1"/>
  <c r="Z34" i="50" s="1"/>
  <c r="AC1228" i="48"/>
  <c r="AG1215" i="48"/>
  <c r="AB1207" i="48"/>
  <c r="AG1230" i="48"/>
  <c r="Z1220" i="48"/>
  <c r="Z586" i="48" s="1"/>
  <c r="AE64" i="45" s="1"/>
  <c r="AE1228" i="48"/>
  <c r="AK1211" i="48"/>
  <c r="AE1206" i="48"/>
  <c r="AF1210" i="48"/>
  <c r="AF1219" i="48"/>
  <c r="AI1230" i="48"/>
  <c r="AJ1227" i="48"/>
  <c r="AG1227" i="48"/>
  <c r="AE1207" i="48"/>
  <c r="AC1210" i="48"/>
  <c r="AH1230" i="48"/>
  <c r="AE1221" i="48"/>
  <c r="AE1227" i="48"/>
  <c r="AA1230" i="48"/>
  <c r="AD1206" i="48"/>
  <c r="AE1211" i="48"/>
  <c r="AB1220" i="48"/>
  <c r="AI1228" i="48"/>
  <c r="AB1228" i="48"/>
  <c r="AF1224" i="48"/>
  <c r="AJ1215" i="48"/>
  <c r="AH1219" i="48"/>
  <c r="AH1207" i="48"/>
  <c r="AF1228" i="48"/>
  <c r="AH1214" i="48"/>
  <c r="AB1210" i="48"/>
  <c r="AJ1220" i="48"/>
  <c r="AF1227" i="48"/>
  <c r="AB1211" i="48"/>
  <c r="AF1206" i="48"/>
  <c r="AD1221" i="48"/>
  <c r="AH1210" i="48"/>
  <c r="AG1228" i="48"/>
  <c r="AA1219" i="48"/>
  <c r="AC1214" i="48"/>
  <c r="AH1227" i="48"/>
  <c r="AI1220" i="48"/>
  <c r="AC1206" i="48"/>
  <c r="AC1230" i="48"/>
  <c r="AB1206" i="48"/>
  <c r="AF1211" i="48"/>
  <c r="AD1224" i="48"/>
  <c r="AC1211" i="48"/>
  <c r="AB1219" i="48"/>
  <c r="AD1216" i="48"/>
  <c r="AK1221" i="48"/>
  <c r="AI1219" i="48"/>
  <c r="AG1224" i="48"/>
  <c r="AK1219" i="48"/>
  <c r="AI1210" i="48"/>
  <c r="AJ1216" i="48"/>
  <c r="AD1225" i="48"/>
  <c r="AK1230" i="48"/>
  <c r="AK1224" i="48"/>
  <c r="AE1225" i="48"/>
  <c r="Z1227" i="48"/>
  <c r="Z593" i="48" s="1"/>
  <c r="Z33" i="50" s="1"/>
  <c r="AJ1230" i="48"/>
  <c r="AJ1214" i="48"/>
  <c r="AI1215" i="48"/>
  <c r="AC1227" i="48"/>
  <c r="AK1214" i="48"/>
  <c r="AC1216" i="48"/>
  <c r="AH1228" i="48"/>
  <c r="AD1215" i="48"/>
  <c r="AI1221" i="48"/>
  <c r="T488" i="48"/>
  <c r="T487" i="48" s="1"/>
  <c r="Y26" i="45" s="1"/>
  <c r="T494" i="48"/>
  <c r="T493" i="48" s="1"/>
  <c r="Y63" i="45" s="1"/>
  <c r="Z490" i="48"/>
  <c r="Z496" i="48"/>
  <c r="D20" i="79"/>
  <c r="L143" i="45"/>
  <c r="D21" i="79" s="1"/>
  <c r="F7" i="1"/>
  <c r="R43" i="45"/>
  <c r="M8" i="50"/>
  <c r="M13" i="50" s="1"/>
  <c r="R81" i="45"/>
  <c r="J14" i="79" s="1"/>
  <c r="J10" i="79"/>
  <c r="W41" i="47"/>
  <c r="AB49" i="45" s="1"/>
  <c r="X40" i="47"/>
  <c r="Y36" i="50"/>
  <c r="U28" i="48"/>
  <c r="U22" i="48"/>
  <c r="U452" i="48" s="1"/>
  <c r="U27" i="48"/>
  <c r="U24" i="48"/>
  <c r="U21" i="48"/>
  <c r="U23" i="48"/>
  <c r="U25" i="48"/>
  <c r="U509" i="48" s="1"/>
  <c r="T9" i="45"/>
  <c r="T7" i="46"/>
  <c r="W65" i="45"/>
  <c r="W103" i="45" s="1"/>
  <c r="W104" i="45"/>
  <c r="W108" i="50"/>
  <c r="K19" i="81"/>
  <c r="N23" i="79"/>
  <c r="Q120" i="50"/>
  <c r="K17" i="81"/>
  <c r="S88" i="45"/>
  <c r="S137" i="45"/>
  <c r="S148" i="45" s="1"/>
  <c r="X68" i="45"/>
  <c r="X107" i="45"/>
  <c r="S109" i="50"/>
  <c r="X110" i="48"/>
  <c r="W111" i="48"/>
  <c r="W537" i="48"/>
  <c r="X62" i="45"/>
  <c r="X101" i="45"/>
  <c r="M47" i="79"/>
  <c r="U12" i="46"/>
  <c r="T10" i="45"/>
  <c r="X71" i="45"/>
  <c r="X109" i="45" s="1"/>
  <c r="X110" i="45"/>
  <c r="P53" i="80"/>
  <c r="P54" i="80" s="1"/>
  <c r="Q51" i="80" s="1"/>
  <c r="Q54" i="80" s="1"/>
  <c r="R51" i="80" s="1"/>
  <c r="P113" i="50"/>
  <c r="Q113" i="50" s="1"/>
  <c r="Y38" i="45"/>
  <c r="Y37" i="45" s="1"/>
  <c r="Y75" i="45"/>
  <c r="Q111" i="50"/>
  <c r="Z180" i="48"/>
  <c r="Z469" i="48"/>
  <c r="Z475" i="48"/>
  <c r="Z540" i="48"/>
  <c r="AA270" i="48"/>
  <c r="Z271" i="48"/>
  <c r="S212" i="45"/>
  <c r="S202" i="45"/>
  <c r="W25" i="45"/>
  <c r="W206" i="45"/>
  <c r="L37" i="80"/>
  <c r="AA86" i="45"/>
  <c r="E17" i="79"/>
  <c r="M117" i="45"/>
  <c r="E18" i="79" s="1"/>
  <c r="M168" i="45"/>
  <c r="M132" i="45"/>
  <c r="M11" i="79"/>
  <c r="U99" i="45"/>
  <c r="M15" i="79" s="1"/>
  <c r="AA42" i="48"/>
  <c r="Z43" i="48"/>
  <c r="Z51" i="48"/>
  <c r="AA46" i="48"/>
  <c r="AA47" i="48" s="1"/>
  <c r="N139" i="45"/>
  <c r="N150" i="45" s="1"/>
  <c r="N118" i="45"/>
  <c r="W10" i="48"/>
  <c r="V19" i="48"/>
  <c r="V11" i="48"/>
  <c r="V14" i="48"/>
  <c r="S194" i="45"/>
  <c r="S216" i="45"/>
  <c r="W61" i="45"/>
  <c r="W100" i="45"/>
  <c r="W133" i="45"/>
  <c r="W144" i="45" s="1"/>
  <c r="M26" i="50"/>
  <c r="J5" i="79"/>
  <c r="R2" i="45"/>
  <c r="R3" i="45"/>
  <c r="R127" i="45"/>
  <c r="R41" i="45"/>
  <c r="M7" i="79"/>
  <c r="K52" i="81"/>
  <c r="L52" i="81"/>
  <c r="R110" i="50"/>
  <c r="Q117" i="50"/>
  <c r="W154" i="45" s="1"/>
  <c r="AA238" i="48"/>
  <c r="AA239" i="48" s="1"/>
  <c r="Z239" i="48"/>
  <c r="Q133" i="50"/>
  <c r="Q103" i="50" s="1"/>
  <c r="P102" i="50"/>
  <c r="I33" i="79"/>
  <c r="V99" i="45"/>
  <c r="N15" i="79" s="1"/>
  <c r="N11" i="79"/>
  <c r="X25" i="45"/>
  <c r="N75" i="81"/>
  <c r="M71" i="81"/>
  <c r="T26" i="48"/>
  <c r="T397" i="48" s="1"/>
  <c r="T428" i="48" s="1"/>
  <c r="T467" i="48"/>
  <c r="T466" i="48" s="1"/>
  <c r="Y35" i="45" s="1"/>
  <c r="Y34" i="45" s="1"/>
  <c r="T473" i="48"/>
  <c r="T472" i="48" s="1"/>
  <c r="Y72" i="45" s="1"/>
  <c r="N7" i="79"/>
  <c r="H5" i="1"/>
  <c r="P72" i="80"/>
  <c r="S84" i="45"/>
  <c r="S45" i="45"/>
  <c r="P115" i="50"/>
  <c r="Q115" i="50" s="1"/>
  <c r="O118" i="50"/>
  <c r="O119" i="50" s="1"/>
  <c r="S427" i="48"/>
  <c r="S398" i="48"/>
  <c r="S429" i="48" s="1"/>
  <c r="AA181" i="48"/>
  <c r="AA184" i="48"/>
  <c r="AA187" i="48"/>
  <c r="AA188" i="48"/>
  <c r="AA182" i="48"/>
  <c r="AA454" i="48" s="1"/>
  <c r="AA185" i="48"/>
  <c r="AA511" i="48" s="1"/>
  <c r="AA183" i="48"/>
  <c r="M68" i="81"/>
  <c r="L67" i="81"/>
  <c r="Y53" i="48"/>
  <c r="Y56" i="48"/>
  <c r="Y57" i="48"/>
  <c r="Y60" i="48"/>
  <c r="Y55" i="48"/>
  <c r="Y59" i="48"/>
  <c r="Y58" i="48" s="1"/>
  <c r="Y54" i="48"/>
  <c r="U536" i="48"/>
  <c r="U15" i="48"/>
  <c r="S6" i="45"/>
  <c r="S5" i="46"/>
  <c r="W135" i="45"/>
  <c r="W146" i="45" s="1"/>
  <c r="W106" i="45"/>
  <c r="W17" i="50"/>
  <c r="W19" i="50" s="1"/>
  <c r="W20" i="50" s="1"/>
  <c r="AC119" i="45"/>
  <c r="K15" i="81"/>
  <c r="P68" i="80"/>
  <c r="J58" i="80"/>
  <c r="I73" i="80"/>
  <c r="G38" i="50"/>
  <c r="G47" i="50"/>
  <c r="F10" i="1"/>
  <c r="G29" i="50"/>
  <c r="Z169" i="48"/>
  <c r="Y171" i="48"/>
  <c r="AD111" i="45"/>
  <c r="T15" i="45"/>
  <c r="T53" i="45" s="1"/>
  <c r="T13" i="46"/>
  <c r="K44" i="80"/>
  <c r="R88" i="50"/>
  <c r="R112" i="50"/>
  <c r="S112" i="50" s="1"/>
  <c r="T112" i="50" s="1"/>
  <c r="U112" i="50" s="1"/>
  <c r="V112" i="50" s="1"/>
  <c r="W112" i="50" s="1"/>
  <c r="X112" i="50" s="1"/>
  <c r="Y112" i="50" s="1"/>
  <c r="D1234" i="48"/>
  <c r="E1234" i="48"/>
  <c r="Y32" i="45"/>
  <c r="Y31" i="45" s="1"/>
  <c r="Y69" i="45"/>
  <c r="T437" i="48"/>
  <c r="T436" i="48" s="1"/>
  <c r="T20" i="48"/>
  <c r="T396" i="48" s="1"/>
  <c r="U440" i="48"/>
  <c r="D440" i="48" s="1"/>
  <c r="P83" i="50"/>
  <c r="Z186" i="48"/>
  <c r="J10" i="81"/>
  <c r="I49" i="81"/>
  <c r="I9" i="81"/>
  <c r="J24" i="81"/>
  <c r="I22" i="81"/>
  <c r="Y538" i="48"/>
  <c r="Y175" i="48"/>
  <c r="Z174" i="48"/>
  <c r="X66" i="45"/>
  <c r="X29" i="45"/>
  <c r="X28" i="45" s="1"/>
  <c r="H27" i="50"/>
  <c r="E34" i="79" s="1"/>
  <c r="H126" i="50"/>
  <c r="H28" i="50"/>
  <c r="N34" i="80"/>
  <c r="M38" i="80"/>
  <c r="O125" i="45"/>
  <c r="O175" i="45"/>
  <c r="P126" i="45"/>
  <c r="K56" i="81"/>
  <c r="K55" i="80"/>
  <c r="J69" i="80"/>
  <c r="S32" i="79"/>
  <c r="V125" i="50"/>
  <c r="I9" i="1"/>
  <c r="X52" i="48"/>
  <c r="X74" i="45"/>
  <c r="X112" i="45" s="1"/>
  <c r="X113" i="45"/>
  <c r="M23" i="79"/>
  <c r="P120" i="50"/>
  <c r="L41" i="80"/>
  <c r="AC65" i="45"/>
  <c r="AC103" i="45" s="1"/>
  <c r="AC105" i="45"/>
  <c r="AE67" i="45" l="1"/>
  <c r="AE28" i="45"/>
  <c r="AE111" i="45"/>
  <c r="AE208" i="45"/>
  <c r="Q102" i="50"/>
  <c r="Z35" i="50"/>
  <c r="Z127" i="50" s="1"/>
  <c r="AE102" i="45"/>
  <c r="K47" i="80"/>
  <c r="U10" i="46"/>
  <c r="U12" i="45"/>
  <c r="U50" i="45" s="1"/>
  <c r="U473" i="48"/>
  <c r="U467" i="48"/>
  <c r="U451" i="48"/>
  <c r="D452" i="48"/>
  <c r="Y25" i="45"/>
  <c r="J22" i="81"/>
  <c r="AA169" i="48"/>
  <c r="AA171" i="48" s="1"/>
  <c r="Z171" i="48"/>
  <c r="O11" i="79"/>
  <c r="L40" i="80"/>
  <c r="X100" i="45"/>
  <c r="X133" i="45"/>
  <c r="X144" i="45" s="1"/>
  <c r="AB86" i="45"/>
  <c r="P125" i="45"/>
  <c r="P175" i="45"/>
  <c r="Q126" i="45"/>
  <c r="M48" i="79"/>
  <c r="M70" i="81"/>
  <c r="N70" i="81" s="1"/>
  <c r="Y68" i="45"/>
  <c r="Y107" i="45"/>
  <c r="Z88" i="50"/>
  <c r="Z112" i="50" s="1"/>
  <c r="AA112" i="50" s="1"/>
  <c r="G48" i="50"/>
  <c r="H29" i="50"/>
  <c r="K14" i="81"/>
  <c r="S5" i="45"/>
  <c r="N9" i="50"/>
  <c r="L20" i="81" s="1"/>
  <c r="N10" i="50"/>
  <c r="K16" i="81" s="1"/>
  <c r="N12" i="50"/>
  <c r="N11" i="50"/>
  <c r="K6" i="79"/>
  <c r="K58" i="81"/>
  <c r="K59" i="81"/>
  <c r="K54" i="81"/>
  <c r="AA469" i="48"/>
  <c r="AA475" i="48"/>
  <c r="AA186" i="48"/>
  <c r="Y71" i="45"/>
  <c r="Y109" i="45" s="1"/>
  <c r="Y110" i="45"/>
  <c r="O75" i="81"/>
  <c r="N71" i="81"/>
  <c r="K60" i="81"/>
  <c r="V25" i="48"/>
  <c r="V509" i="48" s="1"/>
  <c r="V508" i="48" s="1"/>
  <c r="V27" i="48"/>
  <c r="V26" i="48" s="1"/>
  <c r="V24" i="48"/>
  <c r="V22" i="48"/>
  <c r="V452" i="48" s="1"/>
  <c r="V451" i="48" s="1"/>
  <c r="V28" i="48"/>
  <c r="V23" i="48"/>
  <c r="V21" i="48"/>
  <c r="V20" i="48" s="1"/>
  <c r="AA51" i="48"/>
  <c r="AA43" i="48"/>
  <c r="M156" i="45"/>
  <c r="M143" i="45"/>
  <c r="E21" i="79" s="1"/>
  <c r="E20" i="79"/>
  <c r="W205" i="45"/>
  <c r="W210" i="45"/>
  <c r="Y74" i="45"/>
  <c r="Y112" i="45" s="1"/>
  <c r="Y113" i="45"/>
  <c r="X108" i="50"/>
  <c r="T6" i="46"/>
  <c r="T7" i="45"/>
  <c r="U9" i="46"/>
  <c r="U437" i="48"/>
  <c r="U20" i="48"/>
  <c r="U396" i="48" s="1"/>
  <c r="AA1259" i="48"/>
  <c r="AA595" i="48" s="1"/>
  <c r="F595" i="48" s="1"/>
  <c r="AJ1259" i="48"/>
  <c r="AF1259" i="48"/>
  <c r="AB1259" i="48"/>
  <c r="AK1259" i="48"/>
  <c r="AG1259" i="48"/>
  <c r="AC1259" i="48"/>
  <c r="AI1259" i="48"/>
  <c r="AH1259" i="48"/>
  <c r="AE1259" i="48"/>
  <c r="AL1259" i="48"/>
  <c r="AD1259" i="48"/>
  <c r="AA1246" i="48"/>
  <c r="AA582" i="48" s="1"/>
  <c r="F582" i="48" s="1"/>
  <c r="AA1251" i="48"/>
  <c r="AA587" i="48" s="1"/>
  <c r="F587" i="48" s="1"/>
  <c r="AA1237" i="48"/>
  <c r="AA573" i="48" s="1"/>
  <c r="F573" i="48" s="1"/>
  <c r="AA1255" i="48"/>
  <c r="AA591" i="48" s="1"/>
  <c r="F591" i="48" s="1"/>
  <c r="AA1241" i="48"/>
  <c r="AA577" i="48" s="1"/>
  <c r="F577" i="48" s="1"/>
  <c r="AD1255" i="48"/>
  <c r="AD1241" i="48"/>
  <c r="AJ1244" i="48"/>
  <c r="AK1254" i="48"/>
  <c r="AB1249" i="48"/>
  <c r="AI1241" i="48"/>
  <c r="AF1258" i="48"/>
  <c r="AH1245" i="48"/>
  <c r="AA1254" i="48"/>
  <c r="AA590" i="48" s="1"/>
  <c r="AG1255" i="48"/>
  <c r="AA1249" i="48"/>
  <c r="AA585" i="48" s="1"/>
  <c r="AJ1260" i="48"/>
  <c r="AC1246" i="48"/>
  <c r="AK1241" i="48"/>
  <c r="AH1236" i="48"/>
  <c r="AD1236" i="48"/>
  <c r="AB1245" i="48"/>
  <c r="AB1255" i="48"/>
  <c r="AL1255" i="48"/>
  <c r="AG1245" i="48"/>
  <c r="AK1236" i="48"/>
  <c r="AH1255" i="48"/>
  <c r="AJ1250" i="48"/>
  <c r="AF1257" i="48"/>
  <c r="AC1255" i="48"/>
  <c r="AA1260" i="48"/>
  <c r="AA596" i="48" s="1"/>
  <c r="AA597" i="48" s="1"/>
  <c r="AE1244" i="48"/>
  <c r="AD1240" i="48"/>
  <c r="AC1236" i="48"/>
  <c r="AG1251" i="48"/>
  <c r="AH1257" i="48"/>
  <c r="AA1258" i="48"/>
  <c r="AA594" i="48" s="1"/>
  <c r="AC1241" i="48"/>
  <c r="AE1245" i="48"/>
  <c r="AC1244" i="48"/>
  <c r="AB1250" i="48"/>
  <c r="AG1257" i="48"/>
  <c r="AB1241" i="48"/>
  <c r="AF1260" i="48"/>
  <c r="AF1241" i="48"/>
  <c r="AI1250" i="48"/>
  <c r="AI1255" i="48"/>
  <c r="AE1255" i="48"/>
  <c r="AE1236" i="48"/>
  <c r="AF1240" i="48"/>
  <c r="AF1249" i="48"/>
  <c r="AD1237" i="48"/>
  <c r="AH1258" i="48"/>
  <c r="AE1246" i="48"/>
  <c r="AL1254" i="48"/>
  <c r="AC1254" i="48"/>
  <c r="AA1250" i="48"/>
  <c r="AA586" i="48" s="1"/>
  <c r="AG1258" i="48"/>
  <c r="AB1237" i="48"/>
  <c r="AF1236" i="48"/>
  <c r="AA1244" i="48"/>
  <c r="AA580" i="48" s="1"/>
  <c r="AI1260" i="48"/>
  <c r="AD1258" i="48"/>
  <c r="AK1237" i="48"/>
  <c r="AE1241" i="48"/>
  <c r="AG1246" i="48"/>
  <c r="AG1241" i="48"/>
  <c r="AL1250" i="48"/>
  <c r="AJ1258" i="48"/>
  <c r="AB1260" i="48"/>
  <c r="AF1246" i="48"/>
  <c r="AI1249" i="48"/>
  <c r="AF1251" i="48"/>
  <c r="AL1251" i="48"/>
  <c r="AB1257" i="48"/>
  <c r="AE1254" i="48"/>
  <c r="AB1240" i="48"/>
  <c r="AD1250" i="48"/>
  <c r="AC1260" i="48"/>
  <c r="AH1251" i="48"/>
  <c r="AD1246" i="48"/>
  <c r="AD1244" i="48"/>
  <c r="AK1249" i="48"/>
  <c r="AE1258" i="48"/>
  <c r="AF1255" i="48"/>
  <c r="AF1254" i="48"/>
  <c r="AG1260" i="48"/>
  <c r="AH1260" i="48"/>
  <c r="AI1237" i="48"/>
  <c r="AJ1237" i="48"/>
  <c r="AG1244" i="48"/>
  <c r="AG1254" i="48"/>
  <c r="AA1240" i="48"/>
  <c r="AA576" i="48" s="1"/>
  <c r="AI1257" i="48"/>
  <c r="AI1244" i="48"/>
  <c r="AE1249" i="48"/>
  <c r="AB1258" i="48"/>
  <c r="AE1237" i="48"/>
  <c r="AE1251" i="48"/>
  <c r="AK1246" i="48"/>
  <c r="AG1237" i="48"/>
  <c r="AL1260" i="48"/>
  <c r="AK1251" i="48"/>
  <c r="AI1254" i="48"/>
  <c r="AH1249" i="48"/>
  <c r="AK1255" i="48"/>
  <c r="AF1245" i="48"/>
  <c r="AL1236" i="48"/>
  <c r="AK1257" i="48"/>
  <c r="AK1244" i="48"/>
  <c r="AH1241" i="48"/>
  <c r="AF1244" i="48"/>
  <c r="AG1240" i="48"/>
  <c r="AC1251" i="48"/>
  <c r="AI1236" i="48"/>
  <c r="AJ1251" i="48"/>
  <c r="AE1240" i="48"/>
  <c r="AF1250" i="48"/>
  <c r="AJ1257" i="48"/>
  <c r="AB1254" i="48"/>
  <c r="AJ1246" i="48"/>
  <c r="AL1246" i="48"/>
  <c r="AC1240" i="48"/>
  <c r="AC1258" i="48"/>
  <c r="AE1257" i="48"/>
  <c r="AA1245" i="48"/>
  <c r="AA581" i="48" s="1"/>
  <c r="AH1250" i="48"/>
  <c r="AL1258" i="48"/>
  <c r="AJ1240" i="48"/>
  <c r="AG1249" i="48"/>
  <c r="AJ1255" i="48"/>
  <c r="AJ1245" i="48"/>
  <c r="AL1245" i="48"/>
  <c r="AH1246" i="48"/>
  <c r="AJ1236" i="48"/>
  <c r="AJ1249" i="48"/>
  <c r="AL1257" i="48"/>
  <c r="AG1236" i="48"/>
  <c r="AB1251" i="48"/>
  <c r="AH1254" i="48"/>
  <c r="AC1257" i="48"/>
  <c r="AC1245" i="48"/>
  <c r="AD1257" i="48"/>
  <c r="AD1254" i="48"/>
  <c r="AC1249" i="48"/>
  <c r="AA1257" i="48"/>
  <c r="AA593" i="48" s="1"/>
  <c r="AH1244" i="48"/>
  <c r="AK1250" i="48"/>
  <c r="AB1246" i="48"/>
  <c r="AC1237" i="48"/>
  <c r="AG1250" i="48"/>
  <c r="AJ1254" i="48"/>
  <c r="AL1249" i="48"/>
  <c r="AI1251" i="48"/>
  <c r="AA1236" i="48"/>
  <c r="AA572" i="48" s="1"/>
  <c r="AB1236" i="48"/>
  <c r="AI1246" i="48"/>
  <c r="AK1240" i="48"/>
  <c r="AB1244" i="48"/>
  <c r="AJ1241" i="48"/>
  <c r="AE1260" i="48"/>
  <c r="AL1244" i="48"/>
  <c r="AI1258" i="48"/>
  <c r="AI1245" i="48"/>
  <c r="AH1240" i="48"/>
  <c r="AH1237" i="48"/>
  <c r="AF1237" i="48"/>
  <c r="AC1250" i="48"/>
  <c r="AD1260" i="48"/>
  <c r="AL1240" i="48"/>
  <c r="AL1237" i="48"/>
  <c r="AD1245" i="48"/>
  <c r="AE1250" i="48"/>
  <c r="AI1240" i="48"/>
  <c r="AD1249" i="48"/>
  <c r="AL1241" i="48"/>
  <c r="AK1260" i="48"/>
  <c r="AK1258" i="48"/>
  <c r="AK1245" i="48"/>
  <c r="AD1251" i="48"/>
  <c r="S110" i="50"/>
  <c r="T109" i="50"/>
  <c r="X135" i="45"/>
  <c r="X146" i="45" s="1"/>
  <c r="X106" i="45"/>
  <c r="N36" i="80"/>
  <c r="R90" i="50"/>
  <c r="R89" i="50"/>
  <c r="R49" i="80"/>
  <c r="U15" i="46"/>
  <c r="T13" i="45"/>
  <c r="T219" i="45" s="1"/>
  <c r="J61" i="80"/>
  <c r="J70" i="80"/>
  <c r="X17" i="50"/>
  <c r="X19" i="50" s="1"/>
  <c r="X20" i="50" s="1"/>
  <c r="AD119" i="45"/>
  <c r="Y52" i="48"/>
  <c r="AA490" i="48"/>
  <c r="AA496" i="48"/>
  <c r="K55" i="81"/>
  <c r="S44" i="45"/>
  <c r="S82" i="45"/>
  <c r="S134" i="45"/>
  <c r="S145" i="45" s="1"/>
  <c r="X206" i="45"/>
  <c r="K51" i="81"/>
  <c r="W19" i="48"/>
  <c r="X10" i="48"/>
  <c r="W14" i="48"/>
  <c r="W11" i="48"/>
  <c r="W24" i="45"/>
  <c r="W99" i="45" s="1"/>
  <c r="O15" i="79" s="1"/>
  <c r="W215" i="45"/>
  <c r="W169" i="45"/>
  <c r="AA540" i="48"/>
  <c r="AA271" i="48"/>
  <c r="P81" i="50"/>
  <c r="P56" i="50" s="1"/>
  <c r="T47" i="45"/>
  <c r="T204" i="45"/>
  <c r="U494" i="48"/>
  <c r="U488" i="48"/>
  <c r="Z36" i="50"/>
  <c r="R50" i="80"/>
  <c r="S48" i="80" s="1"/>
  <c r="R52" i="80"/>
  <c r="AD65" i="45"/>
  <c r="AD103" i="45" s="1"/>
  <c r="AD105" i="45"/>
  <c r="L43" i="80"/>
  <c r="L45" i="80"/>
  <c r="Z538" i="48"/>
  <c r="Z175" i="48"/>
  <c r="AA174" i="48"/>
  <c r="Y29" i="45"/>
  <c r="Y28" i="45" s="1"/>
  <c r="Y66" i="45"/>
  <c r="F11" i="1"/>
  <c r="G39" i="50"/>
  <c r="M67" i="81"/>
  <c r="N68" i="81"/>
  <c r="R111" i="50"/>
  <c r="Q118" i="50"/>
  <c r="R80" i="45"/>
  <c r="J13" i="79" s="1"/>
  <c r="J9" i="79"/>
  <c r="R78" i="45"/>
  <c r="K57" i="80"/>
  <c r="K59" i="80"/>
  <c r="K71" i="80" s="1"/>
  <c r="K67" i="80"/>
  <c r="O139" i="45"/>
  <c r="O150" i="45" s="1"/>
  <c r="O118" i="45"/>
  <c r="O116" i="45"/>
  <c r="H47" i="50"/>
  <c r="E35" i="79"/>
  <c r="H38" i="50"/>
  <c r="X65" i="45"/>
  <c r="X103" i="45" s="1"/>
  <c r="X104" i="45"/>
  <c r="K10" i="81"/>
  <c r="J49" i="81"/>
  <c r="J9" i="81"/>
  <c r="T427" i="48"/>
  <c r="T398" i="48"/>
  <c r="T429" i="48" s="1"/>
  <c r="T51" i="45"/>
  <c r="T90" i="45"/>
  <c r="G63" i="50"/>
  <c r="F13" i="1"/>
  <c r="T32" i="79"/>
  <c r="W125" i="50"/>
  <c r="U535" i="48"/>
  <c r="D535" i="48" s="1"/>
  <c r="D536" i="48"/>
  <c r="AA180" i="48"/>
  <c r="X24" i="45"/>
  <c r="X169" i="45"/>
  <c r="O23" i="79"/>
  <c r="R120" i="50"/>
  <c r="V536" i="48"/>
  <c r="V535" i="48" s="1"/>
  <c r="V15" i="48"/>
  <c r="N117" i="45"/>
  <c r="F18" i="79" s="1"/>
  <c r="F17" i="79"/>
  <c r="N168" i="45"/>
  <c r="N132" i="45"/>
  <c r="Z53" i="48"/>
  <c r="Z54" i="48"/>
  <c r="Z55" i="48"/>
  <c r="Z56" i="48"/>
  <c r="Z59" i="48"/>
  <c r="Z60" i="48"/>
  <c r="Z57" i="48"/>
  <c r="P118" i="50"/>
  <c r="P119" i="50" s="1"/>
  <c r="R113" i="50"/>
  <c r="T218" i="45"/>
  <c r="T172" i="45"/>
  <c r="X111" i="48"/>
  <c r="Y110" i="48"/>
  <c r="X537" i="48"/>
  <c r="U508" i="48"/>
  <c r="D509" i="48"/>
  <c r="U26" i="48"/>
  <c r="U397" i="48" s="1"/>
  <c r="U428" i="48" s="1"/>
  <c r="Y40" i="47"/>
  <c r="X41" i="47"/>
  <c r="AC49" i="45" s="1"/>
  <c r="J31" i="79"/>
  <c r="M124" i="50"/>
  <c r="M14" i="50"/>
  <c r="M22" i="50"/>
  <c r="Y62" i="45"/>
  <c r="Y101" i="45"/>
  <c r="T85" i="45"/>
  <c r="T136" i="45"/>
  <c r="T147" i="45" s="1"/>
  <c r="AF30" i="45" l="1"/>
  <c r="F572" i="48"/>
  <c r="AA33" i="50"/>
  <c r="F593" i="48"/>
  <c r="AF73" i="45"/>
  <c r="F581" i="48"/>
  <c r="AF39" i="45"/>
  <c r="AF76" i="45" s="1"/>
  <c r="AF114" i="45" s="1"/>
  <c r="F590" i="48"/>
  <c r="AF64" i="45"/>
  <c r="F586" i="48"/>
  <c r="AA34" i="50"/>
  <c r="F594" i="48"/>
  <c r="AF36" i="45"/>
  <c r="F580" i="48"/>
  <c r="AF27" i="45"/>
  <c r="F585" i="48"/>
  <c r="Z75" i="45"/>
  <c r="Z38" i="45"/>
  <c r="Z37" i="45" s="1"/>
  <c r="D508" i="48"/>
  <c r="C508" i="48" s="1"/>
  <c r="O117" i="45"/>
  <c r="G18" i="79" s="1"/>
  <c r="G17" i="79"/>
  <c r="O168" i="45"/>
  <c r="O132" i="45"/>
  <c r="S50" i="80"/>
  <c r="T48" i="80" s="1"/>
  <c r="S52" i="80"/>
  <c r="T212" i="45"/>
  <c r="T202" i="45"/>
  <c r="S43" i="45"/>
  <c r="N8" i="50"/>
  <c r="N13" i="50" s="1"/>
  <c r="S81" i="45"/>
  <c r="K14" i="79" s="1"/>
  <c r="K10" i="79"/>
  <c r="U15" i="45"/>
  <c r="U53" i="45" s="1"/>
  <c r="U13" i="46"/>
  <c r="R91" i="50"/>
  <c r="R133" i="50"/>
  <c r="R103" i="50" s="1"/>
  <c r="O68" i="81" s="1"/>
  <c r="R56" i="80"/>
  <c r="R68" i="80" s="1"/>
  <c r="R92" i="50"/>
  <c r="R114" i="50"/>
  <c r="U436" i="48"/>
  <c r="D437" i="48"/>
  <c r="Y108" i="50"/>
  <c r="V494" i="48"/>
  <c r="V493" i="48" s="1"/>
  <c r="AA63" i="45" s="1"/>
  <c r="V488" i="48"/>
  <c r="V487" i="48" s="1"/>
  <c r="AA26" i="45" s="1"/>
  <c r="Y206" i="45"/>
  <c r="U466" i="48"/>
  <c r="D467" i="48"/>
  <c r="AE65" i="45"/>
  <c r="AE103" i="45" s="1"/>
  <c r="AE105" i="45"/>
  <c r="AC86" i="45"/>
  <c r="P7" i="79"/>
  <c r="L10" i="81"/>
  <c r="K49" i="81"/>
  <c r="K9" i="81"/>
  <c r="N67" i="81"/>
  <c r="Z40" i="47"/>
  <c r="Y41" i="47"/>
  <c r="AD49" i="45" s="1"/>
  <c r="L55" i="80"/>
  <c r="K69" i="80"/>
  <c r="T84" i="45"/>
  <c r="T45" i="45"/>
  <c r="W536" i="48"/>
  <c r="W535" i="48" s="1"/>
  <c r="W15" i="48"/>
  <c r="X205" i="45"/>
  <c r="X210" i="45"/>
  <c r="Y17" i="50"/>
  <c r="Y19" i="50" s="1"/>
  <c r="AE119" i="45"/>
  <c r="U9" i="45"/>
  <c r="U7" i="46"/>
  <c r="V467" i="48"/>
  <c r="V466" i="48" s="1"/>
  <c r="AA35" i="45" s="1"/>
  <c r="AA34" i="45" s="1"/>
  <c r="V473" i="48"/>
  <c r="V472" i="48" s="1"/>
  <c r="AA72" i="45" s="1"/>
  <c r="L19" i="81"/>
  <c r="H48" i="50"/>
  <c r="Q125" i="45"/>
  <c r="Q175" i="45"/>
  <c r="R126" i="45"/>
  <c r="X61" i="45"/>
  <c r="Y24" i="45"/>
  <c r="Y169" i="45"/>
  <c r="U472" i="48"/>
  <c r="D473" i="48"/>
  <c r="L44" i="80"/>
  <c r="E38" i="79"/>
  <c r="M41" i="80"/>
  <c r="Z110" i="48"/>
  <c r="Y111" i="48"/>
  <c r="Y537" i="48"/>
  <c r="S89" i="50"/>
  <c r="S53" i="80" s="1"/>
  <c r="Z58" i="48"/>
  <c r="Z52" i="48"/>
  <c r="H63" i="50"/>
  <c r="E43" i="79"/>
  <c r="Q119" i="50"/>
  <c r="H39" i="50"/>
  <c r="AA538" i="48"/>
  <c r="AA175" i="48"/>
  <c r="U487" i="48"/>
  <c r="D488" i="48"/>
  <c r="M46" i="79"/>
  <c r="P59" i="50"/>
  <c r="X19" i="48"/>
  <c r="Y10" i="48"/>
  <c r="X11" i="48"/>
  <c r="X14" i="48"/>
  <c r="X125" i="50"/>
  <c r="K58" i="80"/>
  <c r="J73" i="80"/>
  <c r="R82" i="50"/>
  <c r="U109" i="50"/>
  <c r="T110" i="50"/>
  <c r="AF33" i="45"/>
  <c r="AF70" i="45" s="1"/>
  <c r="AF108" i="45" s="1"/>
  <c r="F576" i="48"/>
  <c r="T194" i="45"/>
  <c r="T216" i="45"/>
  <c r="AA75" i="45"/>
  <c r="AA38" i="45"/>
  <c r="AA37" i="45" s="1"/>
  <c r="P75" i="81"/>
  <c r="O71" i="81"/>
  <c r="N26" i="50"/>
  <c r="K5" i="79"/>
  <c r="S2" i="45"/>
  <c r="S3" i="45"/>
  <c r="S127" i="45"/>
  <c r="S41" i="45"/>
  <c r="Y135" i="45"/>
  <c r="Y146" i="45" s="1"/>
  <c r="Y106" i="45"/>
  <c r="K24" i="81"/>
  <c r="U87" i="45"/>
  <c r="U48" i="45"/>
  <c r="Y65" i="45"/>
  <c r="Y103" i="45" s="1"/>
  <c r="Y104" i="45"/>
  <c r="Y100" i="45"/>
  <c r="Y133" i="45"/>
  <c r="Y144" i="45" s="1"/>
  <c r="J33" i="79"/>
  <c r="M23" i="50"/>
  <c r="N156" i="45"/>
  <c r="F20" i="79"/>
  <c r="N143" i="45"/>
  <c r="F21" i="79" s="1"/>
  <c r="T88" i="45"/>
  <c r="T137" i="45"/>
  <c r="T148" i="45" s="1"/>
  <c r="S87" i="50"/>
  <c r="S111" i="50"/>
  <c r="U493" i="48"/>
  <c r="D494" i="48"/>
  <c r="E494" i="48" s="1"/>
  <c r="O52" i="81"/>
  <c r="O7" i="79"/>
  <c r="N52" i="81"/>
  <c r="M52" i="81"/>
  <c r="W24" i="48"/>
  <c r="W22" i="48"/>
  <c r="W452" i="48" s="1"/>
  <c r="W451" i="48" s="1"/>
  <c r="W25" i="48"/>
  <c r="W509" i="48" s="1"/>
  <c r="W508" i="48" s="1"/>
  <c r="W28" i="48"/>
  <c r="W27" i="48"/>
  <c r="W23" i="48"/>
  <c r="W21" i="48"/>
  <c r="W20" i="48" s="1"/>
  <c r="R83" i="50"/>
  <c r="O48" i="79" s="1"/>
  <c r="R53" i="80"/>
  <c r="O34" i="80"/>
  <c r="N38" i="80"/>
  <c r="U398" i="48"/>
  <c r="U429" i="48" s="1"/>
  <c r="U427" i="48"/>
  <c r="T6" i="45"/>
  <c r="L55" i="81" s="1"/>
  <c r="T5" i="46"/>
  <c r="AA54" i="48"/>
  <c r="AA56" i="48"/>
  <c r="AA59" i="48"/>
  <c r="AA58" i="48" s="1"/>
  <c r="AA60" i="48"/>
  <c r="AA53" i="48"/>
  <c r="AA55" i="48"/>
  <c r="AA57" i="48"/>
  <c r="AA32" i="45"/>
  <c r="AA31" i="45" s="1"/>
  <c r="AA69" i="45"/>
  <c r="O70" i="81"/>
  <c r="P139" i="45"/>
  <c r="P150" i="45" s="1"/>
  <c r="P118" i="45"/>
  <c r="M37" i="80"/>
  <c r="Z32" i="45"/>
  <c r="Z31" i="45" s="1"/>
  <c r="Z69" i="45"/>
  <c r="D451" i="48"/>
  <c r="C451" i="48" s="1"/>
  <c r="V12" i="46"/>
  <c r="U10" i="45"/>
  <c r="S113" i="50" l="1"/>
  <c r="T113" i="50" s="1"/>
  <c r="U113" i="50" s="1"/>
  <c r="V113" i="50" s="1"/>
  <c r="W113" i="50" s="1"/>
  <c r="X113" i="50" s="1"/>
  <c r="Y113" i="50" s="1"/>
  <c r="AF102" i="45"/>
  <c r="V12" i="45"/>
  <c r="V50" i="45" s="1"/>
  <c r="V10" i="46"/>
  <c r="M40" i="80"/>
  <c r="S46" i="80"/>
  <c r="Y61" i="45"/>
  <c r="R81" i="50"/>
  <c r="R56" i="50" s="1"/>
  <c r="O47" i="79"/>
  <c r="X25" i="48"/>
  <c r="X509" i="48" s="1"/>
  <c r="X508" i="48" s="1"/>
  <c r="X27" i="48"/>
  <c r="X26" i="48" s="1"/>
  <c r="X21" i="48"/>
  <c r="X24" i="48"/>
  <c r="X28" i="48"/>
  <c r="X22" i="48"/>
  <c r="X452" i="48" s="1"/>
  <c r="X451" i="48" s="1"/>
  <c r="X23" i="48"/>
  <c r="Z26" i="45"/>
  <c r="D487" i="48"/>
  <c r="C487" i="48" s="1"/>
  <c r="M43" i="80"/>
  <c r="M45" i="80"/>
  <c r="L47" i="80"/>
  <c r="Q7" i="79"/>
  <c r="Q139" i="45"/>
  <c r="Q150" i="45" s="1"/>
  <c r="Q118" i="45"/>
  <c r="AF119" i="45"/>
  <c r="Z17" i="50"/>
  <c r="Z19" i="50" s="1"/>
  <c r="M10" i="81"/>
  <c r="L49" i="81"/>
  <c r="Z108" i="50"/>
  <c r="S90" i="50"/>
  <c r="S114" i="50"/>
  <c r="R117" i="50"/>
  <c r="X154" i="45" s="1"/>
  <c r="R60" i="80"/>
  <c r="R72" i="80" s="1"/>
  <c r="R115" i="50"/>
  <c r="L14" i="81"/>
  <c r="T5" i="45"/>
  <c r="O10" i="50"/>
  <c r="L16" i="81" s="1"/>
  <c r="O11" i="50"/>
  <c r="O9" i="50"/>
  <c r="M20" i="81" s="1"/>
  <c r="L6" i="79"/>
  <c r="O12" i="50"/>
  <c r="L56" i="81"/>
  <c r="L17" i="81"/>
  <c r="L15" i="81"/>
  <c r="AB75" i="45"/>
  <c r="AB38" i="45"/>
  <c r="AB37" i="45" s="1"/>
  <c r="K22" i="81"/>
  <c r="Q75" i="81"/>
  <c r="Q71" i="81" s="1"/>
  <c r="P71" i="81"/>
  <c r="U110" i="50"/>
  <c r="X536" i="48"/>
  <c r="X535" i="48" s="1"/>
  <c r="X15" i="48"/>
  <c r="M49" i="79"/>
  <c r="P130" i="50"/>
  <c r="P60" i="50"/>
  <c r="Q60" i="50" s="1"/>
  <c r="P11" i="79"/>
  <c r="X99" i="45"/>
  <c r="P15" i="79" s="1"/>
  <c r="L54" i="81"/>
  <c r="U6" i="46"/>
  <c r="U7" i="45"/>
  <c r="V9" i="46"/>
  <c r="Y125" i="50"/>
  <c r="T44" i="45"/>
  <c r="T134" i="45"/>
  <c r="T145" i="45" s="1"/>
  <c r="T82" i="45"/>
  <c r="L57" i="80"/>
  <c r="L59" i="80"/>
  <c r="L71" i="80" s="1"/>
  <c r="L67" i="80"/>
  <c r="O67" i="81"/>
  <c r="Z35" i="45"/>
  <c r="Z34" i="45" s="1"/>
  <c r="D466" i="48"/>
  <c r="C466" i="48" s="1"/>
  <c r="L58" i="81"/>
  <c r="R93" i="50"/>
  <c r="V15" i="46"/>
  <c r="U13" i="45"/>
  <c r="U219" i="45" s="1"/>
  <c r="K31" i="79"/>
  <c r="N124" i="50"/>
  <c r="N14" i="50"/>
  <c r="N22" i="50"/>
  <c r="Z74" i="45"/>
  <c r="Z112" i="45" s="1"/>
  <c r="Z113" i="45"/>
  <c r="AA35" i="50"/>
  <c r="Z68" i="45"/>
  <c r="Z107" i="45"/>
  <c r="AB32" i="45"/>
  <c r="AB31" i="45" s="1"/>
  <c r="AB69" i="45"/>
  <c r="T111" i="50"/>
  <c r="K61" i="80"/>
  <c r="K70" i="80"/>
  <c r="Z89" i="50"/>
  <c r="Z113" i="50" s="1"/>
  <c r="AA113" i="50" s="1"/>
  <c r="AA110" i="48"/>
  <c r="Z111" i="48"/>
  <c r="Z537" i="48"/>
  <c r="Z72" i="45"/>
  <c r="D472" i="48"/>
  <c r="R125" i="45"/>
  <c r="R175" i="45"/>
  <c r="S126" i="45"/>
  <c r="AA71" i="45"/>
  <c r="AA109" i="45" s="1"/>
  <c r="AA110" i="45"/>
  <c r="U47" i="45"/>
  <c r="U204" i="45"/>
  <c r="AD86" i="45"/>
  <c r="Y210" i="45"/>
  <c r="Y205" i="45"/>
  <c r="AA25" i="45"/>
  <c r="AA206" i="45"/>
  <c r="U51" i="45"/>
  <c r="U90" i="45"/>
  <c r="K9" i="79"/>
  <c r="S80" i="45"/>
  <c r="K13" i="79" s="1"/>
  <c r="S78" i="45"/>
  <c r="T50" i="80"/>
  <c r="U48" i="80" s="1"/>
  <c r="T52" i="80"/>
  <c r="P117" i="45"/>
  <c r="H18" i="79" s="1"/>
  <c r="H17" i="79"/>
  <c r="P168" i="45"/>
  <c r="P132" i="45"/>
  <c r="L60" i="81"/>
  <c r="O36" i="80"/>
  <c r="W467" i="48"/>
  <c r="W466" i="48" s="1"/>
  <c r="AB35" i="45" s="1"/>
  <c r="AB34" i="45" s="1"/>
  <c r="W473" i="48"/>
  <c r="W472" i="48" s="1"/>
  <c r="AB72" i="45" s="1"/>
  <c r="U218" i="45"/>
  <c r="U172" i="45"/>
  <c r="AA68" i="45"/>
  <c r="AA107" i="45"/>
  <c r="AA52" i="48"/>
  <c r="R54" i="80"/>
  <c r="S51" i="80" s="1"/>
  <c r="S54" i="80" s="1"/>
  <c r="T51" i="80" s="1"/>
  <c r="W26" i="48"/>
  <c r="W488" i="48"/>
  <c r="W487" i="48" s="1"/>
  <c r="AB26" i="45" s="1"/>
  <c r="W494" i="48"/>
  <c r="W493" i="48" s="1"/>
  <c r="AB63" i="45" s="1"/>
  <c r="Z63" i="45"/>
  <c r="D493" i="48"/>
  <c r="N23" i="50"/>
  <c r="U85" i="45"/>
  <c r="U136" i="45"/>
  <c r="U147" i="45" s="1"/>
  <c r="L59" i="81"/>
  <c r="AA74" i="45"/>
  <c r="AA112" i="45" s="1"/>
  <c r="AA113" i="45"/>
  <c r="V109" i="50"/>
  <c r="Y19" i="48"/>
  <c r="Z10" i="48"/>
  <c r="Y11" i="48"/>
  <c r="Y14" i="48"/>
  <c r="H64" i="50"/>
  <c r="E51" i="79"/>
  <c r="E52" i="79" s="1"/>
  <c r="AA40" i="47"/>
  <c r="Z41" i="47"/>
  <c r="AE49" i="45" s="1"/>
  <c r="AA62" i="45"/>
  <c r="AA101" i="45"/>
  <c r="Z66" i="45"/>
  <c r="Z29" i="45"/>
  <c r="Z28" i="45" s="1"/>
  <c r="D436" i="48"/>
  <c r="C436" i="48" s="1"/>
  <c r="R102" i="50"/>
  <c r="O156" i="45"/>
  <c r="O143" i="45"/>
  <c r="G21" i="79" s="1"/>
  <c r="G20" i="79"/>
  <c r="AF208" i="45"/>
  <c r="Y20" i="50"/>
  <c r="Z20" i="50" s="1"/>
  <c r="AF111" i="45"/>
  <c r="AF67" i="45"/>
  <c r="AF28" i="45"/>
  <c r="L9" i="81" l="1"/>
  <c r="T54" i="80"/>
  <c r="U51" i="80" s="1"/>
  <c r="AE86" i="45"/>
  <c r="Y25" i="48"/>
  <c r="Y509" i="48" s="1"/>
  <c r="Y508" i="48" s="1"/>
  <c r="Y21" i="48"/>
  <c r="Y20" i="48" s="1"/>
  <c r="Y28" i="48"/>
  <c r="Y24" i="48"/>
  <c r="Y23" i="48"/>
  <c r="Y27" i="48"/>
  <c r="Y26" i="48" s="1"/>
  <c r="Y22" i="48"/>
  <c r="Y452" i="48" s="1"/>
  <c r="Y451" i="48" s="1"/>
  <c r="AB25" i="45"/>
  <c r="AB206" i="45"/>
  <c r="P34" i="80"/>
  <c r="O38" i="80"/>
  <c r="U212" i="45"/>
  <c r="U202" i="45"/>
  <c r="S125" i="45"/>
  <c r="S175" i="45"/>
  <c r="T126" i="45"/>
  <c r="Z71" i="45"/>
  <c r="Z109" i="45" s="1"/>
  <c r="Z110" i="45"/>
  <c r="AA127" i="50"/>
  <c r="AA36" i="50"/>
  <c r="K33" i="79"/>
  <c r="L51" i="81"/>
  <c r="M17" i="81"/>
  <c r="O26" i="50"/>
  <c r="L5" i="79"/>
  <c r="T3" i="45"/>
  <c r="T2" i="45"/>
  <c r="T127" i="45"/>
  <c r="T41" i="45"/>
  <c r="P23" i="79"/>
  <c r="S120" i="50"/>
  <c r="Z125" i="50"/>
  <c r="I17" i="79"/>
  <c r="Q117" i="45"/>
  <c r="I18" i="79" s="1"/>
  <c r="Q168" i="45"/>
  <c r="Q132" i="45"/>
  <c r="Z25" i="45"/>
  <c r="Z206" i="45"/>
  <c r="X488" i="48"/>
  <c r="X487" i="48" s="1"/>
  <c r="AC26" i="45" s="1"/>
  <c r="X494" i="48"/>
  <c r="X493" i="48" s="1"/>
  <c r="AC63" i="45" s="1"/>
  <c r="N37" i="80"/>
  <c r="AF105" i="45"/>
  <c r="AF65" i="45"/>
  <c r="AF103" i="45" s="1"/>
  <c r="AA61" i="45"/>
  <c r="AA133" i="45"/>
  <c r="AA144" i="45" s="1"/>
  <c r="AA100" i="45"/>
  <c r="M60" i="81"/>
  <c r="V15" i="45"/>
  <c r="V53" i="45" s="1"/>
  <c r="V13" i="46"/>
  <c r="T43" i="45"/>
  <c r="L10" i="79"/>
  <c r="O8" i="50"/>
  <c r="O13" i="50" s="1"/>
  <c r="T81" i="45"/>
  <c r="L14" i="79" s="1"/>
  <c r="V7" i="46"/>
  <c r="V9" i="45"/>
  <c r="M19" i="81"/>
  <c r="T90" i="50"/>
  <c r="T114" i="50" s="1"/>
  <c r="S117" i="50"/>
  <c r="Y154" i="45" s="1"/>
  <c r="X467" i="48"/>
  <c r="X466" i="48" s="1"/>
  <c r="AC35" i="45" s="1"/>
  <c r="AC34" i="45" s="1"/>
  <c r="X473" i="48"/>
  <c r="X472" i="48" s="1"/>
  <c r="AC72" i="45" s="1"/>
  <c r="X20" i="48"/>
  <c r="O46" i="79"/>
  <c r="R59" i="50"/>
  <c r="W12" i="46"/>
  <c r="V10" i="45"/>
  <c r="W109" i="50"/>
  <c r="AB71" i="45"/>
  <c r="AB109" i="45" s="1"/>
  <c r="AB110" i="45"/>
  <c r="U137" i="45"/>
  <c r="U148" i="45" s="1"/>
  <c r="U88" i="45"/>
  <c r="Z62" i="45"/>
  <c r="Z101" i="45"/>
  <c r="AA106" i="45"/>
  <c r="AA135" i="45"/>
  <c r="AA146" i="45" s="1"/>
  <c r="P156" i="45"/>
  <c r="H20" i="79"/>
  <c r="P143" i="45"/>
  <c r="H21" i="79" s="1"/>
  <c r="G7" i="1"/>
  <c r="AA205" i="45"/>
  <c r="AA210" i="45"/>
  <c r="R139" i="45"/>
  <c r="R150" i="45" s="1"/>
  <c r="R118" i="45"/>
  <c r="U111" i="50"/>
  <c r="Z106" i="45"/>
  <c r="Z135" i="45"/>
  <c r="Z146" i="45" s="1"/>
  <c r="M55" i="80"/>
  <c r="L69" i="80"/>
  <c r="U216" i="45"/>
  <c r="U194" i="45"/>
  <c r="V110" i="50"/>
  <c r="L24" i="81"/>
  <c r="AB74" i="45"/>
  <c r="AB112" i="45" s="1"/>
  <c r="AB113" i="45"/>
  <c r="S105" i="50"/>
  <c r="S91" i="50" s="1"/>
  <c r="R118" i="50"/>
  <c r="R119" i="50" s="1"/>
  <c r="S82" i="50"/>
  <c r="S133" i="50"/>
  <c r="S103" i="50" s="1"/>
  <c r="S92" i="50"/>
  <c r="S56" i="80"/>
  <c r="S68" i="80" s="1"/>
  <c r="N41" i="80"/>
  <c r="AC69" i="45"/>
  <c r="AC32" i="45"/>
  <c r="AC31" i="45" s="1"/>
  <c r="Q11" i="79"/>
  <c r="Y99" i="45"/>
  <c r="Q15" i="79" s="1"/>
  <c r="V87" i="45"/>
  <c r="V48" i="45"/>
  <c r="AB40" i="47"/>
  <c r="AA41" i="47"/>
  <c r="AF49" i="45" s="1"/>
  <c r="AF86" i="45" s="1"/>
  <c r="Y536" i="48"/>
  <c r="Y535" i="48" s="1"/>
  <c r="Y15" i="48"/>
  <c r="U84" i="45"/>
  <c r="U45" i="45"/>
  <c r="Z65" i="45"/>
  <c r="Z103" i="45" s="1"/>
  <c r="Z104" i="45"/>
  <c r="E4" i="81"/>
  <c r="E3" i="81" s="1"/>
  <c r="E2" i="81" s="1"/>
  <c r="H131" i="50"/>
  <c r="Z11" i="48"/>
  <c r="AA10" i="48"/>
  <c r="Z19" i="48"/>
  <c r="Z14" i="48"/>
  <c r="AB62" i="45"/>
  <c r="AB101" i="45"/>
  <c r="U50" i="80"/>
  <c r="V48" i="80" s="1"/>
  <c r="U52" i="80"/>
  <c r="U54" i="80" s="1"/>
  <c r="V51" i="80" s="1"/>
  <c r="AA24" i="45"/>
  <c r="AA169" i="45"/>
  <c r="AA111" i="48"/>
  <c r="AA537" i="48"/>
  <c r="L58" i="80"/>
  <c r="K73" i="80"/>
  <c r="AB68" i="45"/>
  <c r="AB107" i="45"/>
  <c r="U6" i="45"/>
  <c r="U5" i="46"/>
  <c r="AA108" i="50"/>
  <c r="N10" i="81"/>
  <c r="M49" i="81"/>
  <c r="AA17" i="50"/>
  <c r="AA19" i="50" s="1"/>
  <c r="AA20" i="50" s="1"/>
  <c r="M44" i="80"/>
  <c r="AC75" i="45"/>
  <c r="AC38" i="45"/>
  <c r="AC37" i="45" s="1"/>
  <c r="AA19" i="48" l="1"/>
  <c r="AA11" i="48"/>
  <c r="AA14" i="48"/>
  <c r="U44" i="45"/>
  <c r="U134" i="45"/>
  <c r="U145" i="45" s="1"/>
  <c r="U82" i="45"/>
  <c r="AC107" i="45"/>
  <c r="AC68" i="45"/>
  <c r="W110" i="50"/>
  <c r="W12" i="45"/>
  <c r="W50" i="45" s="1"/>
  <c r="W10" i="46"/>
  <c r="AC110" i="45"/>
  <c r="AC71" i="45"/>
  <c r="AC109" i="45" s="1"/>
  <c r="U114" i="50"/>
  <c r="T117" i="50"/>
  <c r="Z154" i="45" s="1"/>
  <c r="V47" i="45"/>
  <c r="V204" i="45"/>
  <c r="AA99" i="45"/>
  <c r="S15" i="79" s="1"/>
  <c r="S11" i="79"/>
  <c r="N40" i="80"/>
  <c r="Z24" i="45"/>
  <c r="Z169" i="45"/>
  <c r="T125" i="45"/>
  <c r="T175" i="45"/>
  <c r="U126" i="45"/>
  <c r="AB205" i="45"/>
  <c r="AB210" i="45"/>
  <c r="M47" i="80"/>
  <c r="M14" i="81"/>
  <c r="U5" i="45"/>
  <c r="P11" i="50"/>
  <c r="P12" i="50"/>
  <c r="P10" i="50"/>
  <c r="M16" i="81" s="1"/>
  <c r="M6" i="79"/>
  <c r="P9" i="50"/>
  <c r="N20" i="81" s="1"/>
  <c r="M55" i="81"/>
  <c r="L61" i="80"/>
  <c r="L70" i="80"/>
  <c r="S7" i="79"/>
  <c r="AB61" i="45"/>
  <c r="AB100" i="45"/>
  <c r="AB133" i="45"/>
  <c r="AB144" i="45" s="1"/>
  <c r="AC40" i="47"/>
  <c r="AB41" i="47"/>
  <c r="S93" i="50"/>
  <c r="T93" i="50" s="1"/>
  <c r="T94" i="50" s="1"/>
  <c r="I14" i="1"/>
  <c r="S60" i="80"/>
  <c r="S72" i="80" s="1"/>
  <c r="S83" i="50"/>
  <c r="M57" i="80"/>
  <c r="M59" i="80"/>
  <c r="M71" i="80" s="1"/>
  <c r="M67" i="80"/>
  <c r="V111" i="50"/>
  <c r="O49" i="79"/>
  <c r="R130" i="50"/>
  <c r="T82" i="50"/>
  <c r="T133" i="50"/>
  <c r="T56" i="80"/>
  <c r="T68" i="80" s="1"/>
  <c r="V6" i="46"/>
  <c r="V7" i="45"/>
  <c r="W9" i="46"/>
  <c r="L9" i="79"/>
  <c r="T80" i="45"/>
  <c r="L13" i="79" s="1"/>
  <c r="T78" i="45"/>
  <c r="M59" i="81"/>
  <c r="AC101" i="45"/>
  <c r="AC62" i="45"/>
  <c r="Q156" i="45"/>
  <c r="Q143" i="45"/>
  <c r="I21" i="79" s="1"/>
  <c r="I20" i="79"/>
  <c r="R60" i="50"/>
  <c r="M58" i="81"/>
  <c r="AB24" i="45"/>
  <c r="AB169" i="45"/>
  <c r="Y473" i="48"/>
  <c r="Y472" i="48" s="1"/>
  <c r="AD72" i="45" s="1"/>
  <c r="Y467" i="48"/>
  <c r="Y466" i="48" s="1"/>
  <c r="AD35" i="45" s="1"/>
  <c r="AD34" i="45" s="1"/>
  <c r="AD75" i="45"/>
  <c r="AD38" i="45"/>
  <c r="AD37" i="45" s="1"/>
  <c r="AA125" i="50"/>
  <c r="Z536" i="48"/>
  <c r="Z535" i="48" s="1"/>
  <c r="Z15" i="48"/>
  <c r="V136" i="45"/>
  <c r="V147" i="45" s="1"/>
  <c r="V85" i="45"/>
  <c r="N43" i="80"/>
  <c r="N45" i="80"/>
  <c r="T103" i="50"/>
  <c r="S102" i="50"/>
  <c r="S115" i="50"/>
  <c r="M24" i="81"/>
  <c r="L22" i="81"/>
  <c r="R117" i="45"/>
  <c r="J18" i="79" s="1"/>
  <c r="J17" i="79"/>
  <c r="R168" i="45"/>
  <c r="R132" i="45"/>
  <c r="X109" i="50"/>
  <c r="W15" i="46"/>
  <c r="V13" i="45"/>
  <c r="V219" i="45" s="1"/>
  <c r="AC25" i="45"/>
  <c r="AC206" i="45"/>
  <c r="S139" i="45"/>
  <c r="S150" i="45" s="1"/>
  <c r="S118" i="45"/>
  <c r="P36" i="80"/>
  <c r="Y494" i="48"/>
  <c r="Y493" i="48" s="1"/>
  <c r="AD63" i="45" s="1"/>
  <c r="Y488" i="48"/>
  <c r="Y487" i="48" s="1"/>
  <c r="AD26" i="45" s="1"/>
  <c r="AC113" i="45"/>
  <c r="AC74" i="45"/>
  <c r="AC112" i="45" s="1"/>
  <c r="O10" i="81"/>
  <c r="N49" i="81"/>
  <c r="M15" i="81"/>
  <c r="AB135" i="45"/>
  <c r="AB146" i="45" s="1"/>
  <c r="AB106" i="45"/>
  <c r="V50" i="80"/>
  <c r="W48" i="80" s="1"/>
  <c r="W50" i="80" s="1"/>
  <c r="W52" i="80" s="1"/>
  <c r="V52" i="80"/>
  <c r="V54" i="80" s="1"/>
  <c r="W51" i="80" s="1"/>
  <c r="W54" i="80" s="1"/>
  <c r="Z25" i="48"/>
  <c r="Z509" i="48" s="1"/>
  <c r="Z508" i="48" s="1"/>
  <c r="Z27" i="48"/>
  <c r="Z26" i="48" s="1"/>
  <c r="Z23" i="48"/>
  <c r="Z24" i="48"/>
  <c r="Z21" i="48"/>
  <c r="Z22" i="48"/>
  <c r="Z452" i="48" s="1"/>
  <c r="Z451" i="48" s="1"/>
  <c r="Z28" i="48"/>
  <c r="S81" i="50"/>
  <c r="P47" i="79"/>
  <c r="M56" i="81"/>
  <c r="J9" i="1"/>
  <c r="Z61" i="45"/>
  <c r="Z133" i="45"/>
  <c r="Z144" i="45" s="1"/>
  <c r="Z100" i="45"/>
  <c r="V218" i="45"/>
  <c r="V172" i="45"/>
  <c r="T120" i="50"/>
  <c r="Q23" i="79"/>
  <c r="L31" i="79"/>
  <c r="O124" i="50"/>
  <c r="O14" i="50"/>
  <c r="O22" i="50"/>
  <c r="V90" i="45"/>
  <c r="V51" i="45"/>
  <c r="Z205" i="45"/>
  <c r="Z210" i="45"/>
  <c r="M54" i="81"/>
  <c r="AD69" i="45"/>
  <c r="AD32" i="45"/>
  <c r="AD31" i="45" s="1"/>
  <c r="U175" i="45" l="1"/>
  <c r="V126" i="45"/>
  <c r="V212" i="45"/>
  <c r="V202" i="45"/>
  <c r="AC24" i="45"/>
  <c r="AC169" i="45"/>
  <c r="AD110" i="45"/>
  <c r="AD71" i="45"/>
  <c r="AD109" i="45" s="1"/>
  <c r="W7" i="46"/>
  <c r="W9" i="45"/>
  <c r="N55" i="80"/>
  <c r="M69" i="80"/>
  <c r="N19" i="81"/>
  <c r="N44" i="80"/>
  <c r="R7" i="79"/>
  <c r="I5" i="1"/>
  <c r="P52" i="81"/>
  <c r="Q52" i="81"/>
  <c r="V84" i="45"/>
  <c r="V45" i="45"/>
  <c r="X110" i="50"/>
  <c r="AA28" i="48"/>
  <c r="AA21" i="48"/>
  <c r="AA23" i="48"/>
  <c r="AA24" i="48"/>
  <c r="AA22" i="48"/>
  <c r="AA452" i="48" s="1"/>
  <c r="AA451" i="48" s="1"/>
  <c r="AA25" i="48"/>
  <c r="AA509" i="48" s="1"/>
  <c r="AA508" i="48" s="1"/>
  <c r="AA27" i="48"/>
  <c r="AA26" i="48" s="1"/>
  <c r="S117" i="45"/>
  <c r="K18" i="79" s="1"/>
  <c r="K17" i="79"/>
  <c r="S168" i="45"/>
  <c r="S132" i="45"/>
  <c r="V137" i="45"/>
  <c r="V148" i="45" s="1"/>
  <c r="V88" i="45"/>
  <c r="AE75" i="45"/>
  <c r="AE38" i="45"/>
  <c r="AE37" i="45" s="1"/>
  <c r="P10" i="81"/>
  <c r="O49" i="81"/>
  <c r="Z488" i="48"/>
  <c r="Z487" i="48" s="1"/>
  <c r="AE26" i="45" s="1"/>
  <c r="Z494" i="48"/>
  <c r="Z493" i="48" s="1"/>
  <c r="AE63" i="45" s="1"/>
  <c r="W15" i="45"/>
  <c r="W53" i="45" s="1"/>
  <c r="W13" i="46"/>
  <c r="R156" i="45"/>
  <c r="J20" i="79"/>
  <c r="R143" i="45"/>
  <c r="J21" i="79" s="1"/>
  <c r="T102" i="50"/>
  <c r="U133" i="50"/>
  <c r="U103" i="50" s="1"/>
  <c r="O41" i="80"/>
  <c r="AC133" i="45"/>
  <c r="AC144" i="45" s="1"/>
  <c r="AC61" i="45"/>
  <c r="AC100" i="45"/>
  <c r="V194" i="45"/>
  <c r="V216" i="45"/>
  <c r="T81" i="50"/>
  <c r="T56" i="50" s="1"/>
  <c r="Q47" i="79"/>
  <c r="W111" i="50"/>
  <c r="P48" i="79"/>
  <c r="P70" i="81"/>
  <c r="T11" i="79"/>
  <c r="AB99" i="45"/>
  <c r="T15" i="79" s="1"/>
  <c r="M58" i="80"/>
  <c r="L73" i="80"/>
  <c r="P26" i="50"/>
  <c r="M5" i="79"/>
  <c r="U3" i="45"/>
  <c r="U2" i="45"/>
  <c r="U127" i="45"/>
  <c r="U125" i="45" s="1"/>
  <c r="U41" i="45"/>
  <c r="T139" i="45"/>
  <c r="T150" i="45" s="1"/>
  <c r="T118" i="45"/>
  <c r="O37" i="80"/>
  <c r="U120" i="50"/>
  <c r="C120" i="50" s="1"/>
  <c r="R23" i="79"/>
  <c r="X12" i="46"/>
  <c r="W10" i="45"/>
  <c r="AC106" i="45"/>
  <c r="AC135" i="45"/>
  <c r="AC146" i="45" s="1"/>
  <c r="U43" i="45"/>
  <c r="P8" i="50"/>
  <c r="P13" i="50" s="1"/>
  <c r="M10" i="79"/>
  <c r="U81" i="45"/>
  <c r="M14" i="79" s="1"/>
  <c r="L33" i="79"/>
  <c r="O23" i="50"/>
  <c r="AE69" i="45"/>
  <c r="AE32" i="45"/>
  <c r="AE31" i="45" s="1"/>
  <c r="AD25" i="45"/>
  <c r="AD206" i="45"/>
  <c r="Y109" i="50"/>
  <c r="T115" i="50"/>
  <c r="S118" i="50"/>
  <c r="S119" i="50" s="1"/>
  <c r="AD68" i="45"/>
  <c r="AD107" i="45"/>
  <c r="Z20" i="48"/>
  <c r="AD101" i="45"/>
  <c r="AD62" i="45"/>
  <c r="M51" i="81"/>
  <c r="Z99" i="45"/>
  <c r="R15" i="79" s="1"/>
  <c r="R11" i="79"/>
  <c r="S56" i="50"/>
  <c r="F106" i="50"/>
  <c r="L154" i="45" s="1"/>
  <c r="Z467" i="48"/>
  <c r="Z466" i="48" s="1"/>
  <c r="AE35" i="45" s="1"/>
  <c r="AE34" i="45" s="1"/>
  <c r="Z473" i="48"/>
  <c r="Z472" i="48" s="1"/>
  <c r="AE72" i="45" s="1"/>
  <c r="Q34" i="80"/>
  <c r="P38" i="80"/>
  <c r="AC210" i="45"/>
  <c r="AC205" i="45"/>
  <c r="M22" i="81"/>
  <c r="Q68" i="81"/>
  <c r="AD113" i="45"/>
  <c r="AD74" i="45"/>
  <c r="AD112" i="45" s="1"/>
  <c r="T7" i="79"/>
  <c r="V6" i="45"/>
  <c r="V5" i="46"/>
  <c r="AC41" i="47"/>
  <c r="AD40" i="47"/>
  <c r="M9" i="81"/>
  <c r="V114" i="50"/>
  <c r="U117" i="50"/>
  <c r="AA154" i="45" s="1"/>
  <c r="S23" i="79" s="1"/>
  <c r="W87" i="45"/>
  <c r="W48" i="45"/>
  <c r="AA536" i="48"/>
  <c r="AA535" i="48" s="1"/>
  <c r="AA15" i="48"/>
  <c r="U139" i="45" l="1"/>
  <c r="U150" i="45" s="1"/>
  <c r="U118" i="45"/>
  <c r="N14" i="81"/>
  <c r="V5" i="45"/>
  <c r="Q12" i="50"/>
  <c r="Q9" i="50"/>
  <c r="O20" i="81" s="1"/>
  <c r="Q11" i="50"/>
  <c r="Q10" i="50"/>
  <c r="N16" i="81" s="1"/>
  <c r="N6" i="79"/>
  <c r="N60" i="81"/>
  <c r="N17" i="81"/>
  <c r="H4" i="1"/>
  <c r="Q36" i="80"/>
  <c r="N15" i="81"/>
  <c r="AD100" i="45"/>
  <c r="AD61" i="45"/>
  <c r="AD133" i="45"/>
  <c r="AD144" i="45" s="1"/>
  <c r="AD106" i="45"/>
  <c r="AD135" i="45"/>
  <c r="AD146" i="45" s="1"/>
  <c r="U132" i="45"/>
  <c r="U80" i="45"/>
  <c r="M13" i="79" s="1"/>
  <c r="M9" i="79"/>
  <c r="U78" i="45"/>
  <c r="X12" i="45"/>
  <c r="X50" i="45" s="1"/>
  <c r="X10" i="46"/>
  <c r="M61" i="80"/>
  <c r="M70" i="80"/>
  <c r="Q70" i="81"/>
  <c r="Q67" i="81" s="1"/>
  <c r="P67" i="81"/>
  <c r="U102" i="50"/>
  <c r="V133" i="50"/>
  <c r="V103" i="50" s="1"/>
  <c r="AE206" i="45"/>
  <c r="AE25" i="45"/>
  <c r="S156" i="45"/>
  <c r="S143" i="45"/>
  <c r="K21" i="79" s="1"/>
  <c r="K20" i="79"/>
  <c r="AA467" i="48"/>
  <c r="AA466" i="48" s="1"/>
  <c r="AF35" i="45" s="1"/>
  <c r="AF34" i="45" s="1"/>
  <c r="AA473" i="48"/>
  <c r="AA472" i="48" s="1"/>
  <c r="AF72" i="45" s="1"/>
  <c r="Y110" i="50"/>
  <c r="X102" i="50"/>
  <c r="N56" i="81"/>
  <c r="D23" i="79"/>
  <c r="L156" i="45"/>
  <c r="N59" i="81"/>
  <c r="Z109" i="50"/>
  <c r="AE68" i="45"/>
  <c r="AE107" i="45"/>
  <c r="T117" i="45"/>
  <c r="L18" i="79" s="1"/>
  <c r="L17" i="79"/>
  <c r="T168" i="45"/>
  <c r="T132" i="45"/>
  <c r="Q46" i="79"/>
  <c r="T59" i="50"/>
  <c r="AC99" i="45"/>
  <c r="O43" i="80"/>
  <c r="O45" i="80"/>
  <c r="X15" i="46"/>
  <c r="W13" i="45"/>
  <c r="W219" i="45" s="1"/>
  <c r="AE113" i="45"/>
  <c r="AE74" i="45"/>
  <c r="AE112" i="45" s="1"/>
  <c r="AF75" i="45"/>
  <c r="AF38" i="45"/>
  <c r="AF37" i="45" s="1"/>
  <c r="AA20" i="48"/>
  <c r="V44" i="45"/>
  <c r="V134" i="45"/>
  <c r="V145" i="45" s="1"/>
  <c r="V82" i="45"/>
  <c r="N47" i="80"/>
  <c r="N57" i="80"/>
  <c r="N59" i="80"/>
  <c r="N71" i="80" s="1"/>
  <c r="N67" i="80"/>
  <c r="W114" i="50"/>
  <c r="V117" i="50"/>
  <c r="AB154" i="45" s="1"/>
  <c r="T23" i="79" s="1"/>
  <c r="AE110" i="45"/>
  <c r="AE71" i="45"/>
  <c r="AE109" i="45" s="1"/>
  <c r="P46" i="79"/>
  <c r="S59" i="50"/>
  <c r="AD205" i="45"/>
  <c r="AD210" i="45"/>
  <c r="W90" i="45"/>
  <c r="W51" i="45"/>
  <c r="AF32" i="45"/>
  <c r="AF31" i="45" s="1"/>
  <c r="AF69" i="45"/>
  <c r="W47" i="45"/>
  <c r="W204" i="45"/>
  <c r="N58" i="81"/>
  <c r="N55" i="81"/>
  <c r="AE40" i="47"/>
  <c r="AD41" i="47"/>
  <c r="W85" i="45"/>
  <c r="W136" i="45"/>
  <c r="W147" i="45" s="1"/>
  <c r="N54" i="81"/>
  <c r="U115" i="50"/>
  <c r="T118" i="50"/>
  <c r="AD24" i="45"/>
  <c r="AD169" i="45"/>
  <c r="M31" i="79"/>
  <c r="P14" i="50"/>
  <c r="P124" i="50"/>
  <c r="P22" i="50"/>
  <c r="P23" i="50" s="1"/>
  <c r="W218" i="45"/>
  <c r="W172" i="45"/>
  <c r="O40" i="80"/>
  <c r="X111" i="50"/>
  <c r="AE62" i="45"/>
  <c r="AE101" i="45"/>
  <c r="Q10" i="81"/>
  <c r="P49" i="81"/>
  <c r="AA488" i="48"/>
  <c r="AA487" i="48" s="1"/>
  <c r="AF26" i="45" s="1"/>
  <c r="AA494" i="48"/>
  <c r="AA493" i="48" s="1"/>
  <c r="AF63" i="45" s="1"/>
  <c r="W6" i="46"/>
  <c r="W7" i="45"/>
  <c r="X9" i="46"/>
  <c r="V175" i="45"/>
  <c r="W126" i="45"/>
  <c r="X126" i="45" l="1"/>
  <c r="X9" i="45"/>
  <c r="X7" i="46"/>
  <c r="AF101" i="45"/>
  <c r="AF62" i="45"/>
  <c r="Q49" i="81"/>
  <c r="Y111" i="50"/>
  <c r="T119" i="50"/>
  <c r="A119" i="50" s="1"/>
  <c r="U105" i="50"/>
  <c r="O55" i="81"/>
  <c r="AF107" i="45"/>
  <c r="AF68" i="45"/>
  <c r="O44" i="80"/>
  <c r="Q49" i="79"/>
  <c r="T130" i="50"/>
  <c r="AE205" i="45"/>
  <c r="AE210" i="45"/>
  <c r="V102" i="50"/>
  <c r="W133" i="50"/>
  <c r="W103" i="50"/>
  <c r="N58" i="80"/>
  <c r="M73" i="80"/>
  <c r="O15" i="81"/>
  <c r="O17" i="81"/>
  <c r="N9" i="81"/>
  <c r="W194" i="45"/>
  <c r="W216" i="45"/>
  <c r="AF206" i="45"/>
  <c r="AF25" i="45"/>
  <c r="V115" i="50"/>
  <c r="U118" i="50"/>
  <c r="O58" i="81"/>
  <c r="P49" i="79"/>
  <c r="S130" i="50"/>
  <c r="S60" i="50"/>
  <c r="T60" i="50" s="1"/>
  <c r="U60" i="50" s="1"/>
  <c r="V60" i="50" s="1"/>
  <c r="W60" i="50" s="1"/>
  <c r="X60" i="50" s="1"/>
  <c r="Y60" i="50" s="1"/>
  <c r="P41" i="80"/>
  <c r="AA109" i="50"/>
  <c r="Z86" i="50"/>
  <c r="Z110" i="50"/>
  <c r="Y102" i="50"/>
  <c r="Y12" i="46"/>
  <c r="X10" i="45"/>
  <c r="X172" i="45" s="1"/>
  <c r="R34" i="80"/>
  <c r="Q38" i="80"/>
  <c r="O60" i="81"/>
  <c r="O19" i="81"/>
  <c r="M17" i="79"/>
  <c r="U117" i="45"/>
  <c r="M18" i="79" s="1"/>
  <c r="U168" i="45"/>
  <c r="W6" i="45"/>
  <c r="W5" i="46"/>
  <c r="AE100" i="45"/>
  <c r="AE133" i="45"/>
  <c r="AE144" i="45" s="1"/>
  <c r="AE61" i="45"/>
  <c r="P37" i="80"/>
  <c r="M33" i="79"/>
  <c r="O54" i="81"/>
  <c r="N51" i="81"/>
  <c r="W202" i="45"/>
  <c r="W212" i="45"/>
  <c r="O55" i="80"/>
  <c r="N69" i="80"/>
  <c r="AF113" i="45"/>
  <c r="AF74" i="45"/>
  <c r="AF112" i="45" s="1"/>
  <c r="X13" i="46"/>
  <c r="X15" i="45"/>
  <c r="X53" i="45" s="1"/>
  <c r="T156" i="45"/>
  <c r="L20" i="79"/>
  <c r="T143" i="45"/>
  <c r="L21" i="79" s="1"/>
  <c r="O59" i="81"/>
  <c r="AF71" i="45"/>
  <c r="AF110" i="45"/>
  <c r="X87" i="45"/>
  <c r="X48" i="45"/>
  <c r="U156" i="45"/>
  <c r="U143" i="45"/>
  <c r="M21" i="79" s="1"/>
  <c r="M20" i="79"/>
  <c r="AD99" i="45"/>
  <c r="AF40" i="47"/>
  <c r="AF41" i="47" s="1"/>
  <c r="AE41" i="47"/>
  <c r="W84" i="45"/>
  <c r="W45" i="45"/>
  <c r="W88" i="45"/>
  <c r="W137" i="45"/>
  <c r="W148" i="45" s="1"/>
  <c r="X114" i="50"/>
  <c r="W117" i="50"/>
  <c r="AC154" i="45" s="1"/>
  <c r="V43" i="45"/>
  <c r="Q8" i="50"/>
  <c r="Q13" i="50" s="1"/>
  <c r="V81" i="45"/>
  <c r="N14" i="79" s="1"/>
  <c r="N10" i="79"/>
  <c r="AE106" i="45"/>
  <c r="AE135" i="45"/>
  <c r="AE146" i="45" s="1"/>
  <c r="O158" i="45"/>
  <c r="M158" i="45"/>
  <c r="N158" i="45"/>
  <c r="P158" i="45"/>
  <c r="Q158" i="45"/>
  <c r="L160" i="45"/>
  <c r="L159" i="45"/>
  <c r="AE24" i="45"/>
  <c r="AE169" i="45"/>
  <c r="Q26" i="50"/>
  <c r="N5" i="79"/>
  <c r="V2" i="45"/>
  <c r="V3" i="45"/>
  <c r="V127" i="45"/>
  <c r="V125" i="45" s="1"/>
  <c r="V41" i="45"/>
  <c r="H6" i="1"/>
  <c r="N24" i="81"/>
  <c r="R158" i="45" l="1"/>
  <c r="J61" i="81"/>
  <c r="J57" i="81" s="1"/>
  <c r="J48" i="81" s="1"/>
  <c r="J47" i="81" s="1"/>
  <c r="J24" i="79"/>
  <c r="N25" i="50"/>
  <c r="R160" i="45"/>
  <c r="X90" i="45"/>
  <c r="X51" i="45"/>
  <c r="R36" i="80"/>
  <c r="AF205" i="45"/>
  <c r="AF210" i="45"/>
  <c r="W102" i="50"/>
  <c r="X133" i="50"/>
  <c r="AF133" i="45"/>
  <c r="AF144" i="45" s="1"/>
  <c r="AF100" i="45"/>
  <c r="AF61" i="45"/>
  <c r="Y126" i="45"/>
  <c r="N22" i="81"/>
  <c r="L161" i="45"/>
  <c r="D26" i="79"/>
  <c r="L163" i="45"/>
  <c r="D27" i="79" s="1"/>
  <c r="H61" i="81"/>
  <c r="H57" i="81" s="1"/>
  <c r="H48" i="81" s="1"/>
  <c r="H47" i="81" s="1"/>
  <c r="H24" i="79"/>
  <c r="P159" i="45"/>
  <c r="L25" i="50"/>
  <c r="P160" i="45"/>
  <c r="N31" i="79"/>
  <c r="Q124" i="50"/>
  <c r="Q14" i="50"/>
  <c r="Q22" i="50"/>
  <c r="H8" i="1"/>
  <c r="Y15" i="46"/>
  <c r="X13" i="45"/>
  <c r="O57" i="80"/>
  <c r="O59" i="80"/>
  <c r="O71" i="80" s="1"/>
  <c r="O67" i="80"/>
  <c r="P40" i="80"/>
  <c r="AA110" i="50"/>
  <c r="Z102" i="50"/>
  <c r="V105" i="50"/>
  <c r="W105" i="50" s="1"/>
  <c r="U119" i="50"/>
  <c r="O47" i="80"/>
  <c r="Z87" i="50"/>
  <c r="G61" i="81"/>
  <c r="G57" i="81" s="1"/>
  <c r="G48" i="81" s="1"/>
  <c r="G47" i="81" s="1"/>
  <c r="G24" i="79"/>
  <c r="O159" i="45"/>
  <c r="K25" i="50"/>
  <c r="O160" i="45"/>
  <c r="Y114" i="50"/>
  <c r="X117" i="50"/>
  <c r="AD154" i="45" s="1"/>
  <c r="S158" i="45"/>
  <c r="F61" i="81"/>
  <c r="F57" i="81" s="1"/>
  <c r="F48" i="81" s="1"/>
  <c r="F47" i="81" s="1"/>
  <c r="F24" i="79"/>
  <c r="N159" i="45"/>
  <c r="J25" i="50"/>
  <c r="N160" i="45"/>
  <c r="N9" i="79"/>
  <c r="V80" i="45"/>
  <c r="N13" i="79" s="1"/>
  <c r="V78" i="45"/>
  <c r="X85" i="45"/>
  <c r="X136" i="45"/>
  <c r="X147" i="45" s="1"/>
  <c r="AF109" i="45"/>
  <c r="AF136" i="45"/>
  <c r="AE99" i="45"/>
  <c r="Y12" i="45"/>
  <c r="Y50" i="45" s="1"/>
  <c r="Y10" i="46"/>
  <c r="Z92" i="50"/>
  <c r="J14" i="1" s="1"/>
  <c r="W115" i="50"/>
  <c r="V118" i="50"/>
  <c r="AF106" i="45"/>
  <c r="AF135" i="45"/>
  <c r="AF146" i="45" s="1"/>
  <c r="X6" i="46"/>
  <c r="X7" i="45"/>
  <c r="X194" i="45" s="1"/>
  <c r="Y9" i="46"/>
  <c r="T158" i="45"/>
  <c r="V139" i="45"/>
  <c r="V150" i="45" s="1"/>
  <c r="V118" i="45"/>
  <c r="I61" i="81"/>
  <c r="I57" i="81" s="1"/>
  <c r="I48" i="81" s="1"/>
  <c r="I47" i="81" s="1"/>
  <c r="I24" i="79"/>
  <c r="M25" i="50"/>
  <c r="Q160" i="45"/>
  <c r="E61" i="81"/>
  <c r="E57" i="81" s="1"/>
  <c r="E48" i="81" s="1"/>
  <c r="E47" i="81" s="1"/>
  <c r="E24" i="79"/>
  <c r="M159" i="45"/>
  <c r="I25" i="50"/>
  <c r="M160" i="45"/>
  <c r="W44" i="45"/>
  <c r="W82" i="45"/>
  <c r="W134" i="45"/>
  <c r="W145" i="45" s="1"/>
  <c r="J5" i="1"/>
  <c r="O14" i="81"/>
  <c r="W5" i="45"/>
  <c r="R9" i="50"/>
  <c r="P20" i="81" s="1"/>
  <c r="R12" i="50"/>
  <c r="R10" i="50"/>
  <c r="O16" i="81" s="1"/>
  <c r="R11" i="50"/>
  <c r="O6" i="79"/>
  <c r="O56" i="81"/>
  <c r="O51" i="81" s="1"/>
  <c r="P43" i="80"/>
  <c r="P45" i="80"/>
  <c r="AF24" i="45"/>
  <c r="AF169" i="45"/>
  <c r="N61" i="80"/>
  <c r="N70" i="80"/>
  <c r="X47" i="45"/>
  <c r="X204" i="45"/>
  <c r="X84" i="45" l="1"/>
  <c r="X45" i="45"/>
  <c r="Q41" i="80"/>
  <c r="X6" i="45"/>
  <c r="X5" i="46"/>
  <c r="X115" i="50"/>
  <c r="W118" i="50"/>
  <c r="W119" i="50" s="1"/>
  <c r="Y87" i="45"/>
  <c r="Y48" i="45"/>
  <c r="N161" i="45"/>
  <c r="N163" i="45"/>
  <c r="F27" i="79" s="1"/>
  <c r="F26" i="79"/>
  <c r="O161" i="45"/>
  <c r="G26" i="79"/>
  <c r="O163" i="45"/>
  <c r="G27" i="79" s="1"/>
  <c r="AA102" i="50"/>
  <c r="P55" i="80"/>
  <c r="O69" i="80"/>
  <c r="L165" i="45"/>
  <c r="L164" i="45"/>
  <c r="N27" i="50"/>
  <c r="K34" i="79" s="1"/>
  <c r="N126" i="50"/>
  <c r="N28" i="50"/>
  <c r="R26" i="50"/>
  <c r="O5" i="79"/>
  <c r="W3" i="45"/>
  <c r="W2" i="45"/>
  <c r="W127" i="45"/>
  <c r="W125" i="45" s="1"/>
  <c r="W41" i="45"/>
  <c r="W175" i="45"/>
  <c r="M161" i="45"/>
  <c r="E26" i="79"/>
  <c r="M163" i="45"/>
  <c r="E27" i="79" s="1"/>
  <c r="P56" i="81"/>
  <c r="V117" i="45"/>
  <c r="N18" i="79" s="1"/>
  <c r="N17" i="79"/>
  <c r="V168" i="45"/>
  <c r="J27" i="50"/>
  <c r="G34" i="79" s="1"/>
  <c r="J126" i="50"/>
  <c r="J28" i="50"/>
  <c r="K61" i="81"/>
  <c r="K57" i="81" s="1"/>
  <c r="K48" i="81" s="1"/>
  <c r="K47" i="81" s="1"/>
  <c r="K24" i="79"/>
  <c r="O25" i="50"/>
  <c r="S160" i="45"/>
  <c r="K27" i="50"/>
  <c r="H34" i="79" s="1"/>
  <c r="K126" i="50"/>
  <c r="K28" i="50"/>
  <c r="P44" i="80"/>
  <c r="N33" i="79"/>
  <c r="Q23" i="50"/>
  <c r="P161" i="45"/>
  <c r="P163" i="45"/>
  <c r="H27" i="79" s="1"/>
  <c r="H26" i="79"/>
  <c r="X137" i="45"/>
  <c r="X148" i="45" s="1"/>
  <c r="X88" i="45"/>
  <c r="L61" i="81"/>
  <c r="L57" i="81" s="1"/>
  <c r="L48" i="81" s="1"/>
  <c r="L47" i="81" s="1"/>
  <c r="L24" i="79"/>
  <c r="P25" i="50"/>
  <c r="Y7" i="46"/>
  <c r="Y9" i="45"/>
  <c r="Y15" i="45"/>
  <c r="Y53" i="45" s="1"/>
  <c r="Y13" i="46"/>
  <c r="L27" i="50"/>
  <c r="I34" i="79" s="1"/>
  <c r="L126" i="50"/>
  <c r="L28" i="50"/>
  <c r="O24" i="81"/>
  <c r="AF99" i="45"/>
  <c r="O9" i="81"/>
  <c r="I27" i="50"/>
  <c r="F34" i="79" s="1"/>
  <c r="I126" i="50"/>
  <c r="I28" i="50"/>
  <c r="Q161" i="45"/>
  <c r="I26" i="79"/>
  <c r="Q163" i="45"/>
  <c r="I27" i="79" s="1"/>
  <c r="T160" i="45"/>
  <c r="M27" i="50"/>
  <c r="J34" i="79" s="1"/>
  <c r="M126" i="50"/>
  <c r="M28" i="50"/>
  <c r="X202" i="45"/>
  <c r="X212" i="45"/>
  <c r="O58" i="80"/>
  <c r="N73" i="80"/>
  <c r="P19" i="81"/>
  <c r="W43" i="45"/>
  <c r="R8" i="50"/>
  <c r="R13" i="50" s="1"/>
  <c r="O10" i="79"/>
  <c r="W81" i="45"/>
  <c r="O14" i="79" s="1"/>
  <c r="Z12" i="46"/>
  <c r="Y10" i="45"/>
  <c r="Y172" i="45" s="1"/>
  <c r="V132" i="45"/>
  <c r="Z90" i="50"/>
  <c r="Z82" i="50" s="1"/>
  <c r="Z114" i="50"/>
  <c r="Y117" i="50"/>
  <c r="AE154" i="45" s="1"/>
  <c r="Z111" i="50"/>
  <c r="Q37" i="80"/>
  <c r="Z126" i="45"/>
  <c r="S34" i="80"/>
  <c r="R38" i="80"/>
  <c r="R161" i="45"/>
  <c r="R163" i="45"/>
  <c r="J27" i="79" s="1"/>
  <c r="J26" i="79"/>
  <c r="U158" i="45"/>
  <c r="Y115" i="50" l="1"/>
  <c r="X118" i="50"/>
  <c r="X119" i="50" s="1"/>
  <c r="Q43" i="80"/>
  <c r="Q45" i="80"/>
  <c r="O9" i="79"/>
  <c r="W80" i="45"/>
  <c r="O13" i="79" s="1"/>
  <c r="W78" i="45"/>
  <c r="O22" i="81"/>
  <c r="Z15" i="46"/>
  <c r="Y13" i="45"/>
  <c r="Y6" i="46"/>
  <c r="Y7" i="45"/>
  <c r="Y194" i="45" s="1"/>
  <c r="Z9" i="46"/>
  <c r="P47" i="80"/>
  <c r="S161" i="45"/>
  <c r="K26" i="79"/>
  <c r="S163" i="45"/>
  <c r="K27" i="79" s="1"/>
  <c r="J47" i="50"/>
  <c r="J38" i="50"/>
  <c r="G38" i="79" s="1"/>
  <c r="G35" i="79"/>
  <c r="W139" i="45"/>
  <c r="W150" i="45" s="1"/>
  <c r="W118" i="45"/>
  <c r="W132" i="45" s="1"/>
  <c r="P57" i="80"/>
  <c r="P59" i="80"/>
  <c r="P71" i="80" s="1"/>
  <c r="P67" i="80"/>
  <c r="Y85" i="45"/>
  <c r="Y136" i="45"/>
  <c r="Y147" i="45" s="1"/>
  <c r="X44" i="45"/>
  <c r="X134" i="45"/>
  <c r="X145" i="45" s="1"/>
  <c r="X82" i="45"/>
  <c r="I47" i="50"/>
  <c r="I38" i="50"/>
  <c r="F35" i="79"/>
  <c r="G10" i="1"/>
  <c r="I29" i="50"/>
  <c r="H87" i="81"/>
  <c r="P164" i="45"/>
  <c r="Z10" i="46"/>
  <c r="Z12" i="45"/>
  <c r="Z50" i="45" s="1"/>
  <c r="M47" i="50"/>
  <c r="M38" i="50"/>
  <c r="J35" i="79"/>
  <c r="O61" i="80"/>
  <c r="O70" i="80"/>
  <c r="L47" i="50"/>
  <c r="I35" i="79"/>
  <c r="L38" i="50"/>
  <c r="I38" i="79" s="1"/>
  <c r="Y90" i="45"/>
  <c r="Y51" i="45"/>
  <c r="P27" i="50"/>
  <c r="M34" i="79" s="1"/>
  <c r="P126" i="50"/>
  <c r="P28" i="50"/>
  <c r="K47" i="50"/>
  <c r="H35" i="79"/>
  <c r="K38" i="50"/>
  <c r="H38" i="79" s="1"/>
  <c r="O27" i="50"/>
  <c r="L34" i="79" s="1"/>
  <c r="O126" i="50"/>
  <c r="O28" i="50"/>
  <c r="E87" i="81"/>
  <c r="M165" i="45"/>
  <c r="N165" i="45" s="1"/>
  <c r="O165" i="45" s="1"/>
  <c r="P165" i="45" s="1"/>
  <c r="Q165" i="45" s="1"/>
  <c r="R165" i="45" s="1"/>
  <c r="M164" i="45"/>
  <c r="P14" i="81"/>
  <c r="X5" i="45"/>
  <c r="P24" i="81" s="1"/>
  <c r="S11" i="50"/>
  <c r="S12" i="50"/>
  <c r="S10" i="50"/>
  <c r="P16" i="81" s="1"/>
  <c r="P6" i="79"/>
  <c r="S9" i="50"/>
  <c r="Q20" i="81" s="1"/>
  <c r="Q19" i="81" s="1"/>
  <c r="P59" i="81"/>
  <c r="P15" i="81"/>
  <c r="P55" i="81"/>
  <c r="P54" i="81"/>
  <c r="P60" i="81"/>
  <c r="P58" i="81"/>
  <c r="P17" i="81"/>
  <c r="O31" i="79"/>
  <c r="R14" i="50"/>
  <c r="R124" i="50"/>
  <c r="R22" i="50"/>
  <c r="T161" i="45"/>
  <c r="T163" i="45"/>
  <c r="L27" i="79" s="1"/>
  <c r="L26" i="79"/>
  <c r="Y47" i="45"/>
  <c r="Y204" i="45"/>
  <c r="S36" i="80"/>
  <c r="Q40" i="80"/>
  <c r="AA114" i="50"/>
  <c r="AA117" i="50" s="1"/>
  <c r="Z117" i="50"/>
  <c r="AF154" i="45" s="1"/>
  <c r="J87" i="81"/>
  <c r="R164" i="45"/>
  <c r="M61" i="81"/>
  <c r="M57" i="81" s="1"/>
  <c r="M48" i="81" s="1"/>
  <c r="M47" i="81" s="1"/>
  <c r="M24" i="79"/>
  <c r="U160" i="45"/>
  <c r="Q25" i="50"/>
  <c r="AA126" i="45"/>
  <c r="AA111" i="50"/>
  <c r="V156" i="45"/>
  <c r="V143" i="45"/>
  <c r="N21" i="79" s="1"/>
  <c r="N20" i="79"/>
  <c r="H7" i="1"/>
  <c r="I87" i="81"/>
  <c r="Q164" i="45"/>
  <c r="N47" i="50"/>
  <c r="N38" i="50"/>
  <c r="K38" i="79" s="1"/>
  <c r="K35" i="79"/>
  <c r="G87" i="81"/>
  <c r="O164" i="45"/>
  <c r="F87" i="81"/>
  <c r="N164" i="45"/>
  <c r="P22" i="81" l="1"/>
  <c r="W156" i="45"/>
  <c r="O20" i="79"/>
  <c r="W143" i="45"/>
  <c r="O21" i="79" s="1"/>
  <c r="R37" i="80"/>
  <c r="Y84" i="45"/>
  <c r="Y45" i="45"/>
  <c r="O33" i="79"/>
  <c r="P51" i="81"/>
  <c r="K63" i="50"/>
  <c r="H51" i="79" s="1"/>
  <c r="H43" i="79"/>
  <c r="Y88" i="45"/>
  <c r="Y137" i="45"/>
  <c r="Y148" i="45" s="1"/>
  <c r="L63" i="50"/>
  <c r="I51" i="79" s="1"/>
  <c r="I43" i="79"/>
  <c r="Z87" i="45"/>
  <c r="Z48" i="45"/>
  <c r="F38" i="79"/>
  <c r="G11" i="1"/>
  <c r="I39" i="50"/>
  <c r="J39" i="50" s="1"/>
  <c r="K39" i="50" s="1"/>
  <c r="L39" i="50" s="1"/>
  <c r="M39" i="50" s="1"/>
  <c r="N39" i="50" s="1"/>
  <c r="X43" i="45"/>
  <c r="S13" i="50"/>
  <c r="P10" i="79"/>
  <c r="X81" i="45"/>
  <c r="P14" i="79" s="1"/>
  <c r="Q44" i="80"/>
  <c r="Y6" i="45"/>
  <c r="Y5" i="46"/>
  <c r="Q55" i="81"/>
  <c r="P47" i="50"/>
  <c r="M35" i="79"/>
  <c r="P38" i="50"/>
  <c r="M38" i="79" s="1"/>
  <c r="AA12" i="46"/>
  <c r="Z10" i="45"/>
  <c r="Z172" i="45" s="1"/>
  <c r="I48" i="50"/>
  <c r="J29" i="50"/>
  <c r="I63" i="50"/>
  <c r="F43" i="79"/>
  <c r="G13" i="1"/>
  <c r="Q55" i="80"/>
  <c r="P69" i="80"/>
  <c r="R23" i="50"/>
  <c r="Z91" i="50"/>
  <c r="Z83" i="50" s="1"/>
  <c r="Z81" i="50" s="1"/>
  <c r="Z56" i="50" s="1"/>
  <c r="Z59" i="50" s="1"/>
  <c r="Y118" i="50"/>
  <c r="Y119" i="50" s="1"/>
  <c r="Q58" i="81"/>
  <c r="S26" i="50"/>
  <c r="P5" i="79"/>
  <c r="X3" i="45"/>
  <c r="X2" i="45"/>
  <c r="X127" i="45"/>
  <c r="X125" i="45" s="1"/>
  <c r="X41" i="45"/>
  <c r="X175" i="45"/>
  <c r="P58" i="80"/>
  <c r="O73" i="80"/>
  <c r="J38" i="79"/>
  <c r="W117" i="45"/>
  <c r="O18" i="79" s="1"/>
  <c r="O17" i="79"/>
  <c r="W168" i="45"/>
  <c r="K87" i="81"/>
  <c r="S164" i="45"/>
  <c r="S165" i="45"/>
  <c r="T165" i="45" s="1"/>
  <c r="Z7" i="46"/>
  <c r="Z9" i="45"/>
  <c r="Z13" i="46"/>
  <c r="Z15" i="45"/>
  <c r="Z53" i="45" s="1"/>
  <c r="Q27" i="50"/>
  <c r="N34" i="79" s="1"/>
  <c r="Q126" i="50"/>
  <c r="Q28" i="50"/>
  <c r="T34" i="80"/>
  <c r="S38" i="80"/>
  <c r="E83" i="81"/>
  <c r="E91" i="81" s="1"/>
  <c r="E93" i="81" s="1"/>
  <c r="F88" i="81"/>
  <c r="G88" i="81" s="1"/>
  <c r="H88" i="81" s="1"/>
  <c r="I88" i="81" s="1"/>
  <c r="J88" i="81" s="1"/>
  <c r="K88" i="81" s="1"/>
  <c r="N63" i="50"/>
  <c r="K51" i="79" s="1"/>
  <c r="K43" i="79"/>
  <c r="V158" i="45"/>
  <c r="W158" i="45" s="1"/>
  <c r="AB126" i="45"/>
  <c r="U161" i="45"/>
  <c r="M26" i="79"/>
  <c r="U163" i="45"/>
  <c r="M27" i="79" s="1"/>
  <c r="Y212" i="45"/>
  <c r="Y202" i="45"/>
  <c r="L87" i="81"/>
  <c r="T164" i="45"/>
  <c r="Q60" i="81"/>
  <c r="Q15" i="81"/>
  <c r="P9" i="81"/>
  <c r="O47" i="50"/>
  <c r="L35" i="79"/>
  <c r="O38" i="50"/>
  <c r="L38" i="79" s="1"/>
  <c r="M63" i="50"/>
  <c r="J51" i="79" s="1"/>
  <c r="J43" i="79"/>
  <c r="J63" i="50"/>
  <c r="G51" i="79" s="1"/>
  <c r="G43" i="79"/>
  <c r="R41" i="80"/>
  <c r="V160" i="45" l="1"/>
  <c r="I83" i="81"/>
  <c r="I91" i="81" s="1"/>
  <c r="K83" i="81"/>
  <c r="K91" i="81" s="1"/>
  <c r="Z115" i="50"/>
  <c r="AA115" i="50" s="1"/>
  <c r="AA118" i="50" s="1"/>
  <c r="F51" i="79"/>
  <c r="I64" i="50"/>
  <c r="AA10" i="46"/>
  <c r="AA12" i="45"/>
  <c r="AA50" i="45" s="1"/>
  <c r="Q14" i="81"/>
  <c r="Y5" i="45"/>
  <c r="T9" i="50"/>
  <c r="T10" i="50"/>
  <c r="Q16" i="81" s="1"/>
  <c r="T12" i="50"/>
  <c r="Q6" i="79"/>
  <c r="T11" i="50"/>
  <c r="Q56" i="81"/>
  <c r="Y44" i="45"/>
  <c r="Y134" i="45"/>
  <c r="Y145" i="45" s="1"/>
  <c r="Y82" i="45"/>
  <c r="J83" i="81"/>
  <c r="J91" i="81" s="1"/>
  <c r="AC126" i="45"/>
  <c r="V161" i="45"/>
  <c r="V163" i="45"/>
  <c r="N27" i="79" s="1"/>
  <c r="N26" i="79"/>
  <c r="L88" i="81"/>
  <c r="M88" i="81" s="1"/>
  <c r="Z6" i="46"/>
  <c r="Z7" i="45"/>
  <c r="Z194" i="45" s="1"/>
  <c r="AA9" i="46"/>
  <c r="Z130" i="50"/>
  <c r="Z60" i="50"/>
  <c r="AA60" i="50" s="1"/>
  <c r="Q57" i="80"/>
  <c r="Q59" i="80"/>
  <c r="Q71" i="80" s="1"/>
  <c r="Q67" i="80"/>
  <c r="J48" i="50"/>
  <c r="K29" i="50"/>
  <c r="Q17" i="81"/>
  <c r="P31" i="79"/>
  <c r="S124" i="50"/>
  <c r="S14" i="50"/>
  <c r="S22" i="50"/>
  <c r="S23" i="50" s="1"/>
  <c r="Q54" i="81"/>
  <c r="Q51" i="81" s="1"/>
  <c r="G83" i="81"/>
  <c r="G91" i="81" s="1"/>
  <c r="W160" i="45"/>
  <c r="O61" i="81"/>
  <c r="O57" i="81" s="1"/>
  <c r="O48" i="81" s="1"/>
  <c r="O47" i="81" s="1"/>
  <c r="O24" i="79"/>
  <c r="T36" i="80"/>
  <c r="R43" i="80"/>
  <c r="R45" i="80"/>
  <c r="O63" i="50"/>
  <c r="L51" i="79" s="1"/>
  <c r="L43" i="79"/>
  <c r="Q47" i="50"/>
  <c r="Q38" i="50"/>
  <c r="N38" i="79" s="1"/>
  <c r="N35" i="79"/>
  <c r="H10" i="1"/>
  <c r="Z51" i="45"/>
  <c r="Z90" i="45"/>
  <c r="Q47" i="80"/>
  <c r="X80" i="45"/>
  <c r="P13" i="79" s="1"/>
  <c r="P9" i="79"/>
  <c r="X78" i="45"/>
  <c r="H83" i="81"/>
  <c r="H91" i="81" s="1"/>
  <c r="Z47" i="45"/>
  <c r="Z204" i="45"/>
  <c r="M87" i="81"/>
  <c r="M83" i="81" s="1"/>
  <c r="M91" i="81" s="1"/>
  <c r="U164" i="45"/>
  <c r="U165" i="45"/>
  <c r="N61" i="81"/>
  <c r="N57" i="81" s="1"/>
  <c r="N48" i="81" s="1"/>
  <c r="N47" i="81" s="1"/>
  <c r="N24" i="79"/>
  <c r="R25" i="50"/>
  <c r="AA15" i="46"/>
  <c r="Z13" i="45"/>
  <c r="P61" i="80"/>
  <c r="P70" i="80"/>
  <c r="S25" i="50"/>
  <c r="X139" i="45"/>
  <c r="X150" i="45" s="1"/>
  <c r="X118" i="45"/>
  <c r="F83" i="81"/>
  <c r="F91" i="81" s="1"/>
  <c r="P63" i="50"/>
  <c r="M51" i="79" s="1"/>
  <c r="M43" i="79"/>
  <c r="O39" i="50"/>
  <c r="P39" i="50" s="1"/>
  <c r="Z85" i="45"/>
  <c r="Z136" i="45"/>
  <c r="Z147" i="45" s="1"/>
  <c r="Q59" i="81"/>
  <c r="R40" i="80"/>
  <c r="Z118" i="50" l="1"/>
  <c r="Z119" i="50" s="1"/>
  <c r="Q39" i="50"/>
  <c r="AA15" i="45"/>
  <c r="AA53" i="45" s="1"/>
  <c r="AA13" i="46"/>
  <c r="Z212" i="45"/>
  <c r="Z202" i="45"/>
  <c r="R44" i="80"/>
  <c r="Z88" i="45"/>
  <c r="Z137" i="45"/>
  <c r="Z148" i="45" s="1"/>
  <c r="Q63" i="50"/>
  <c r="N51" i="79" s="1"/>
  <c r="N43" i="79"/>
  <c r="U34" i="80"/>
  <c r="T38" i="80"/>
  <c r="L29" i="50"/>
  <c r="K48" i="50"/>
  <c r="R55" i="80"/>
  <c r="Q69" i="80"/>
  <c r="AA87" i="45"/>
  <c r="AA48" i="45"/>
  <c r="S37" i="80"/>
  <c r="Z84" i="45"/>
  <c r="Z45" i="45"/>
  <c r="Z6" i="45"/>
  <c r="Z5" i="46"/>
  <c r="N87" i="81"/>
  <c r="V164" i="45"/>
  <c r="V165" i="45"/>
  <c r="Y43" i="45"/>
  <c r="T8" i="50"/>
  <c r="T13" i="50" s="1"/>
  <c r="Y81" i="45"/>
  <c r="Q14" i="79" s="1"/>
  <c r="Q10" i="79"/>
  <c r="AB12" i="46"/>
  <c r="AA10" i="45"/>
  <c r="AA172" i="45" s="1"/>
  <c r="H11" i="1"/>
  <c r="S27" i="50"/>
  <c r="P34" i="79" s="1"/>
  <c r="S126" i="50"/>
  <c r="P17" i="79"/>
  <c r="X117" i="45"/>
  <c r="P18" i="79" s="1"/>
  <c r="X168" i="45"/>
  <c r="Q58" i="80"/>
  <c r="P73" i="80"/>
  <c r="R27" i="50"/>
  <c r="O34" i="79" s="1"/>
  <c r="R126" i="50"/>
  <c r="R28" i="50"/>
  <c r="X132" i="45"/>
  <c r="AA119" i="50"/>
  <c r="S41" i="80"/>
  <c r="N88" i="81"/>
  <c r="L83" i="81"/>
  <c r="L91" i="81" s="1"/>
  <c r="T26" i="50"/>
  <c r="Q5" i="79"/>
  <c r="Y2" i="45"/>
  <c r="Y3" i="45"/>
  <c r="Y127" i="45"/>
  <c r="Y125" i="45" s="1"/>
  <c r="Y41" i="45"/>
  <c r="Y175" i="45"/>
  <c r="Q24" i="81"/>
  <c r="Q22" i="81" s="1"/>
  <c r="F4" i="81"/>
  <c r="F3" i="81" s="1"/>
  <c r="F2" i="81" s="1"/>
  <c r="F93" i="81" s="1"/>
  <c r="J64" i="50"/>
  <c r="F52" i="79"/>
  <c r="I131" i="50"/>
  <c r="W161" i="45"/>
  <c r="W163" i="45"/>
  <c r="O27" i="79" s="1"/>
  <c r="O26" i="79"/>
  <c r="S28" i="50"/>
  <c r="P33" i="79"/>
  <c r="AA7" i="46"/>
  <c r="AA9" i="45"/>
  <c r="AD126" i="45"/>
  <c r="Q9" i="81"/>
  <c r="H13" i="1"/>
  <c r="N83" i="81" l="1"/>
  <c r="N91" i="81" s="1"/>
  <c r="S47" i="50"/>
  <c r="P35" i="79"/>
  <c r="S38" i="50"/>
  <c r="P38" i="79" s="1"/>
  <c r="Q31" i="79"/>
  <c r="T124" i="50"/>
  <c r="T14" i="50"/>
  <c r="T22" i="50"/>
  <c r="S40" i="80"/>
  <c r="AA47" i="45"/>
  <c r="AA204" i="45"/>
  <c r="K64" i="50"/>
  <c r="G4" i="81"/>
  <c r="G3" i="81" s="1"/>
  <c r="G2" i="81" s="1"/>
  <c r="G93" i="81" s="1"/>
  <c r="G52" i="79"/>
  <c r="J131" i="50"/>
  <c r="S43" i="80"/>
  <c r="S45" i="80"/>
  <c r="R47" i="50"/>
  <c r="R38" i="50"/>
  <c r="O35" i="79"/>
  <c r="Q61" i="80"/>
  <c r="Q70" i="80"/>
  <c r="AB10" i="46"/>
  <c r="AB12" i="45"/>
  <c r="AB50" i="45" s="1"/>
  <c r="Y80" i="45"/>
  <c r="Q13" i="79" s="1"/>
  <c r="Q9" i="79"/>
  <c r="Y78" i="45"/>
  <c r="Z44" i="45"/>
  <c r="Z82" i="45"/>
  <c r="Z134" i="45"/>
  <c r="Z145" i="45" s="1"/>
  <c r="R57" i="80"/>
  <c r="R59" i="80"/>
  <c r="R71" i="80" s="1"/>
  <c r="R67" i="80"/>
  <c r="R47" i="80"/>
  <c r="AB15" i="46"/>
  <c r="AA13" i="45"/>
  <c r="AE126" i="45"/>
  <c r="AA6" i="46"/>
  <c r="AA7" i="45"/>
  <c r="AA194" i="45" s="1"/>
  <c r="AB9" i="46"/>
  <c r="O88" i="81"/>
  <c r="U9" i="50"/>
  <c r="Z5" i="45"/>
  <c r="U10" i="50"/>
  <c r="U12" i="50"/>
  <c r="U11" i="50"/>
  <c r="R6" i="79"/>
  <c r="AA85" i="45"/>
  <c r="AA136" i="45"/>
  <c r="AA147" i="45" s="1"/>
  <c r="U36" i="80"/>
  <c r="AA90" i="45"/>
  <c r="AA51" i="45"/>
  <c r="O87" i="81"/>
  <c r="W164" i="45"/>
  <c r="W165" i="45"/>
  <c r="Y139" i="45"/>
  <c r="Y150" i="45" s="1"/>
  <c r="Y118" i="45"/>
  <c r="Y132" i="45" s="1"/>
  <c r="X156" i="45"/>
  <c r="X143" i="45"/>
  <c r="P21" i="79" s="1"/>
  <c r="P20" i="79"/>
  <c r="L48" i="50"/>
  <c r="M29" i="50"/>
  <c r="P88" i="81" l="1"/>
  <c r="Y156" i="45"/>
  <c r="Q20" i="79"/>
  <c r="Y143" i="45"/>
  <c r="Q21" i="79" s="1"/>
  <c r="M48" i="50"/>
  <c r="N29" i="50"/>
  <c r="AA88" i="45"/>
  <c r="AA137" i="45"/>
  <c r="AA148" i="45" s="1"/>
  <c r="AA6" i="45"/>
  <c r="AA5" i="46"/>
  <c r="AC12" i="46"/>
  <c r="AB10" i="45"/>
  <c r="AB172" i="45" s="1"/>
  <c r="AA84" i="45"/>
  <c r="AA45" i="45"/>
  <c r="Q33" i="79"/>
  <c r="T23" i="50"/>
  <c r="AB13" i="46"/>
  <c r="AB15" i="45"/>
  <c r="AB53" i="45" s="1"/>
  <c r="R37" i="50"/>
  <c r="O38" i="79"/>
  <c r="R39" i="50"/>
  <c r="S39" i="50" s="1"/>
  <c r="T41" i="80"/>
  <c r="AB7" i="46"/>
  <c r="AB9" i="45"/>
  <c r="Z43" i="45"/>
  <c r="U8" i="50"/>
  <c r="U13" i="50" s="1"/>
  <c r="Z81" i="45"/>
  <c r="R14" i="79" s="1"/>
  <c r="R10" i="79"/>
  <c r="R58" i="80"/>
  <c r="Q73" i="80"/>
  <c r="R63" i="50"/>
  <c r="O51" i="79" s="1"/>
  <c r="O43" i="79"/>
  <c r="H4" i="81"/>
  <c r="H3" i="81" s="1"/>
  <c r="H2" i="81" s="1"/>
  <c r="H93" i="81" s="1"/>
  <c r="L64" i="50"/>
  <c r="H52" i="79"/>
  <c r="K131" i="50"/>
  <c r="T37" i="80"/>
  <c r="S63" i="50"/>
  <c r="P51" i="79" s="1"/>
  <c r="P43" i="79"/>
  <c r="X158" i="45"/>
  <c r="Y117" i="45"/>
  <c r="Q18" i="79" s="1"/>
  <c r="Q17" i="79"/>
  <c r="Y168" i="45"/>
  <c r="V34" i="80"/>
  <c r="U38" i="80"/>
  <c r="O83" i="81"/>
  <c r="O91" i="81" s="1"/>
  <c r="U26" i="50"/>
  <c r="Z127" i="45"/>
  <c r="Z125" i="45" s="1"/>
  <c r="R5" i="79"/>
  <c r="Z2" i="45"/>
  <c r="Z3" i="45"/>
  <c r="Z41" i="45"/>
  <c r="Z175" i="45"/>
  <c r="AF126" i="45"/>
  <c r="S44" i="80"/>
  <c r="S55" i="80"/>
  <c r="R69" i="80"/>
  <c r="AB87" i="45"/>
  <c r="AB48" i="45"/>
  <c r="AA202" i="45"/>
  <c r="AA212" i="45"/>
  <c r="V36" i="80" l="1"/>
  <c r="AB47" i="45"/>
  <c r="AB204" i="45"/>
  <c r="AB90" i="45"/>
  <c r="AB51" i="45"/>
  <c r="S47" i="80"/>
  <c r="P61" i="81"/>
  <c r="P57" i="81" s="1"/>
  <c r="P48" i="81" s="1"/>
  <c r="P47" i="81" s="1"/>
  <c r="P24" i="79"/>
  <c r="T25" i="50"/>
  <c r="AB6" i="46"/>
  <c r="AB7" i="45"/>
  <c r="AB194" i="45" s="1"/>
  <c r="AC9" i="46"/>
  <c r="AC15" i="46"/>
  <c r="AB13" i="45"/>
  <c r="AA44" i="45"/>
  <c r="AA82" i="45"/>
  <c r="AA134" i="45"/>
  <c r="AA145" i="45" s="1"/>
  <c r="AC10" i="46"/>
  <c r="AC12" i="45"/>
  <c r="AC50" i="45" s="1"/>
  <c r="AB85" i="45"/>
  <c r="AB136" i="45"/>
  <c r="AB147" i="45" s="1"/>
  <c r="X160" i="45"/>
  <c r="R31" i="79"/>
  <c r="U124" i="50"/>
  <c r="U14" i="50"/>
  <c r="U22" i="50"/>
  <c r="O29" i="50"/>
  <c r="N48" i="50"/>
  <c r="M64" i="50"/>
  <c r="I4" i="81"/>
  <c r="I3" i="81" s="1"/>
  <c r="I2" i="81" s="1"/>
  <c r="I93" i="81" s="1"/>
  <c r="I52" i="79"/>
  <c r="L131" i="50"/>
  <c r="T40" i="80"/>
  <c r="S57" i="80"/>
  <c r="S59" i="80"/>
  <c r="S71" i="80" s="1"/>
  <c r="S67" i="80"/>
  <c r="Z139" i="45"/>
  <c r="Z150" i="45" s="1"/>
  <c r="Z118" i="45"/>
  <c r="Z132" i="45" s="1"/>
  <c r="Y158" i="45"/>
  <c r="U25" i="50" s="1"/>
  <c r="R61" i="80"/>
  <c r="R70" i="80"/>
  <c r="R9" i="79"/>
  <c r="Z80" i="45"/>
  <c r="R13" i="79" s="1"/>
  <c r="Z78" i="45"/>
  <c r="T43" i="80"/>
  <c r="T45" i="80"/>
  <c r="V12" i="50"/>
  <c r="AA5" i="45"/>
  <c r="V9" i="50"/>
  <c r="V11" i="50"/>
  <c r="V10" i="50"/>
  <c r="S6" i="79"/>
  <c r="I4" i="1"/>
  <c r="Y160" i="45" l="1"/>
  <c r="U27" i="50"/>
  <c r="R34" i="79" s="1"/>
  <c r="U126" i="50"/>
  <c r="AC87" i="45"/>
  <c r="AC48" i="45"/>
  <c r="S58" i="80"/>
  <c r="R73" i="80"/>
  <c r="R33" i="79"/>
  <c r="U28" i="50"/>
  <c r="X161" i="45"/>
  <c r="P26" i="79"/>
  <c r="X163" i="45"/>
  <c r="P27" i="79" s="1"/>
  <c r="AD12" i="46"/>
  <c r="AC10" i="45"/>
  <c r="AC172" i="45" s="1"/>
  <c r="AB6" i="45"/>
  <c r="AB5" i="46"/>
  <c r="W34" i="80"/>
  <c r="V38" i="80"/>
  <c r="P29" i="50"/>
  <c r="O48" i="50"/>
  <c r="AC13" i="46"/>
  <c r="AC15" i="45"/>
  <c r="AC53" i="45" s="1"/>
  <c r="T27" i="50"/>
  <c r="Q34" i="79" s="1"/>
  <c r="T126" i="50"/>
  <c r="T28" i="50"/>
  <c r="T44" i="80"/>
  <c r="AB212" i="45"/>
  <c r="AB202" i="45"/>
  <c r="T55" i="80"/>
  <c r="S69" i="80"/>
  <c r="V8" i="50"/>
  <c r="V13" i="50" s="1"/>
  <c r="AA43" i="45"/>
  <c r="S10" i="79"/>
  <c r="AA81" i="45"/>
  <c r="S14" i="79" s="1"/>
  <c r="Y163" i="45"/>
  <c r="Q27" i="79" s="1"/>
  <c r="Q26" i="79"/>
  <c r="Y161" i="45"/>
  <c r="Q61" i="81"/>
  <c r="Q57" i="81" s="1"/>
  <c r="Q48" i="81" s="1"/>
  <c r="Q47" i="81" s="1"/>
  <c r="Q24" i="79"/>
  <c r="U37" i="80"/>
  <c r="V26" i="50"/>
  <c r="AA127" i="45"/>
  <c r="AA125" i="45" s="1"/>
  <c r="S5" i="79"/>
  <c r="AA2" i="45"/>
  <c r="AA3" i="45"/>
  <c r="AA41" i="45"/>
  <c r="AA175" i="45"/>
  <c r="I6" i="1"/>
  <c r="U41" i="80"/>
  <c r="Z156" i="45"/>
  <c r="Z143" i="45"/>
  <c r="R21" i="79" s="1"/>
  <c r="R20" i="79"/>
  <c r="Z117" i="45"/>
  <c r="R18" i="79" s="1"/>
  <c r="R17" i="79"/>
  <c r="Z168" i="45"/>
  <c r="J4" i="81"/>
  <c r="J3" i="81" s="1"/>
  <c r="J2" i="81" s="1"/>
  <c r="J93" i="81" s="1"/>
  <c r="N64" i="50"/>
  <c r="J52" i="79"/>
  <c r="M131" i="50"/>
  <c r="U23" i="50"/>
  <c r="AC7" i="46"/>
  <c r="AC9" i="45"/>
  <c r="AB88" i="45"/>
  <c r="AB137" i="45"/>
  <c r="AB148" i="45" s="1"/>
  <c r="AB84" i="45"/>
  <c r="AB45" i="45"/>
  <c r="AB44" i="45" l="1"/>
  <c r="AB82" i="45"/>
  <c r="AB134" i="45"/>
  <c r="AB145" i="45" s="1"/>
  <c r="AC47" i="45"/>
  <c r="AC204" i="45"/>
  <c r="U40" i="80"/>
  <c r="Q87" i="81"/>
  <c r="Y164" i="45"/>
  <c r="T57" i="80"/>
  <c r="T59" i="80"/>
  <c r="T71" i="80" s="1"/>
  <c r="T67" i="80"/>
  <c r="T47" i="80"/>
  <c r="AC51" i="45"/>
  <c r="AC90" i="45"/>
  <c r="AD10" i="46"/>
  <c r="AD12" i="45"/>
  <c r="AD50" i="45" s="1"/>
  <c r="U47" i="50"/>
  <c r="R35" i="79"/>
  <c r="U38" i="50"/>
  <c r="R38" i="79" s="1"/>
  <c r="AC136" i="45"/>
  <c r="AC147" i="45" s="1"/>
  <c r="AC85" i="45"/>
  <c r="AC6" i="46"/>
  <c r="AC7" i="45"/>
  <c r="AC194" i="45" s="1"/>
  <c r="AD9" i="46"/>
  <c r="S9" i="79"/>
  <c r="AA80" i="45"/>
  <c r="S13" i="79" s="1"/>
  <c r="AA78" i="45"/>
  <c r="T47" i="50"/>
  <c r="Q35" i="79"/>
  <c r="T38" i="50"/>
  <c r="AD15" i="46"/>
  <c r="AC13" i="45"/>
  <c r="O64" i="50"/>
  <c r="K4" i="81"/>
  <c r="K3" i="81" s="1"/>
  <c r="K2" i="81" s="1"/>
  <c r="K93" i="81" s="1"/>
  <c r="K52" i="79"/>
  <c r="N131" i="50"/>
  <c r="Z158" i="45"/>
  <c r="R24" i="79" s="1"/>
  <c r="V25" i="50"/>
  <c r="AA139" i="45"/>
  <c r="AA150" i="45" s="1"/>
  <c r="AA118" i="45"/>
  <c r="AA132" i="45" s="1"/>
  <c r="S31" i="79"/>
  <c r="V14" i="50"/>
  <c r="V124" i="50"/>
  <c r="V22" i="50"/>
  <c r="V23" i="50" s="1"/>
  <c r="I8" i="1"/>
  <c r="AB5" i="45"/>
  <c r="W11" i="50"/>
  <c r="W12" i="50"/>
  <c r="T6" i="79"/>
  <c r="W9" i="50"/>
  <c r="W10" i="50"/>
  <c r="U43" i="80"/>
  <c r="U45" i="80"/>
  <c r="Q29" i="50"/>
  <c r="P48" i="50"/>
  <c r="W36" i="80"/>
  <c r="P87" i="81"/>
  <c r="X165" i="45"/>
  <c r="Y165" i="45" s="1"/>
  <c r="X164" i="45"/>
  <c r="S61" i="80"/>
  <c r="S70" i="80"/>
  <c r="AA156" i="45" l="1"/>
  <c r="S20" i="79"/>
  <c r="AA143" i="45"/>
  <c r="S21" i="79" s="1"/>
  <c r="I7" i="1"/>
  <c r="W26" i="50"/>
  <c r="T5" i="79"/>
  <c r="AB127" i="45"/>
  <c r="AB125" i="45" s="1"/>
  <c r="AB3" i="45"/>
  <c r="AB2" i="45"/>
  <c r="AB41" i="45"/>
  <c r="AB175" i="45"/>
  <c r="AD13" i="46"/>
  <c r="AD15" i="45"/>
  <c r="AD53" i="45" s="1"/>
  <c r="T63" i="50"/>
  <c r="Q51" i="79" s="1"/>
  <c r="Q43" i="79"/>
  <c r="U63" i="50"/>
  <c r="R51" i="79" s="1"/>
  <c r="R43" i="79"/>
  <c r="AC88" i="45"/>
  <c r="AC137" i="45"/>
  <c r="AC148" i="45" s="1"/>
  <c r="Q83" i="81"/>
  <c r="Q91" i="81" s="1"/>
  <c r="AC84" i="45"/>
  <c r="AC45" i="45"/>
  <c r="V41" i="80"/>
  <c r="V27" i="50"/>
  <c r="S34" i="79" s="1"/>
  <c r="V126" i="50"/>
  <c r="AD9" i="45"/>
  <c r="AD7" i="46"/>
  <c r="AD87" i="45"/>
  <c r="AD48" i="45"/>
  <c r="U55" i="80"/>
  <c r="T69" i="80"/>
  <c r="P83" i="81"/>
  <c r="P91" i="81" s="1"/>
  <c r="Q88" i="81"/>
  <c r="R29" i="50"/>
  <c r="Q48" i="50"/>
  <c r="T58" i="80"/>
  <c r="S73" i="80"/>
  <c r="Z160" i="45"/>
  <c r="L4" i="81"/>
  <c r="L3" i="81" s="1"/>
  <c r="L2" i="81" s="1"/>
  <c r="L93" i="81" s="1"/>
  <c r="P64" i="50"/>
  <c r="L52" i="79"/>
  <c r="O131" i="50"/>
  <c r="Q38" i="79"/>
  <c r="T39" i="50"/>
  <c r="U39" i="50" s="1"/>
  <c r="AE12" i="46"/>
  <c r="AD10" i="45"/>
  <c r="AD172" i="45" s="1"/>
  <c r="U44" i="80"/>
  <c r="V37" i="80"/>
  <c r="W38" i="80"/>
  <c r="V28" i="50"/>
  <c r="S33" i="79"/>
  <c r="AA117" i="45"/>
  <c r="S18" i="79" s="1"/>
  <c r="S17" i="79"/>
  <c r="AA168" i="45"/>
  <c r="AC5" i="46"/>
  <c r="AC6" i="45"/>
  <c r="AC212" i="45"/>
  <c r="AC202" i="45"/>
  <c r="T10" i="79"/>
  <c r="W8" i="50"/>
  <c r="W13" i="50" s="1"/>
  <c r="AB81" i="45"/>
  <c r="T14" i="79" s="1"/>
  <c r="AB43" i="45"/>
  <c r="AD51" i="45" l="1"/>
  <c r="AD90" i="45"/>
  <c r="AE12" i="45"/>
  <c r="AE50" i="45" s="1"/>
  <c r="AE10" i="46"/>
  <c r="Z163" i="45"/>
  <c r="R27" i="79" s="1"/>
  <c r="R26" i="79"/>
  <c r="Z161" i="45"/>
  <c r="S29" i="50"/>
  <c r="R48" i="50"/>
  <c r="U57" i="80"/>
  <c r="U59" i="80"/>
  <c r="U71" i="80" s="1"/>
  <c r="U67" i="80"/>
  <c r="AD47" i="45"/>
  <c r="AD204" i="45"/>
  <c r="V43" i="80"/>
  <c r="V45" i="80"/>
  <c r="AE15" i="46"/>
  <c r="AD13" i="45"/>
  <c r="AD6" i="46"/>
  <c r="AD7" i="45"/>
  <c r="AD194" i="45" s="1"/>
  <c r="AE9" i="46"/>
  <c r="V38" i="50"/>
  <c r="V47" i="50"/>
  <c r="S35" i="79"/>
  <c r="I10" i="1"/>
  <c r="V40" i="80"/>
  <c r="V39" i="50"/>
  <c r="AD136" i="45"/>
  <c r="AD147" i="45" s="1"/>
  <c r="AD85" i="45"/>
  <c r="AC134" i="45"/>
  <c r="AC145" i="45" s="1"/>
  <c r="AC82" i="45"/>
  <c r="AC44" i="45"/>
  <c r="AB80" i="45"/>
  <c r="T13" i="79" s="1"/>
  <c r="T9" i="79"/>
  <c r="AB78" i="45"/>
  <c r="T31" i="79"/>
  <c r="W14" i="50"/>
  <c r="W124" i="50"/>
  <c r="W22" i="50"/>
  <c r="AC5" i="45"/>
  <c r="X12" i="50"/>
  <c r="X9" i="50"/>
  <c r="X10" i="50"/>
  <c r="X11" i="50"/>
  <c r="U47" i="80"/>
  <c r="Q64" i="50"/>
  <c r="M4" i="81"/>
  <c r="M3" i="81" s="1"/>
  <c r="M2" i="81" s="1"/>
  <c r="M93" i="81" s="1"/>
  <c r="M52" i="79"/>
  <c r="P131" i="50"/>
  <c r="T61" i="80"/>
  <c r="T70" i="80"/>
  <c r="AB139" i="45"/>
  <c r="AB150" i="45" s="1"/>
  <c r="AB118" i="45"/>
  <c r="AA158" i="45"/>
  <c r="S24" i="79" s="1"/>
  <c r="AA160" i="45" l="1"/>
  <c r="S26" i="79"/>
  <c r="AA163" i="45"/>
  <c r="S27" i="79" s="1"/>
  <c r="AA161" i="45"/>
  <c r="V44" i="80"/>
  <c r="AC43" i="45"/>
  <c r="AC81" i="45"/>
  <c r="X8" i="50"/>
  <c r="X13" i="50" s="1"/>
  <c r="S38" i="79"/>
  <c r="I11" i="1"/>
  <c r="W41" i="80"/>
  <c r="Z164" i="45"/>
  <c r="Z165" i="45"/>
  <c r="AE87" i="45"/>
  <c r="AE48" i="45"/>
  <c r="AE7" i="46"/>
  <c r="AE9" i="45"/>
  <c r="AE13" i="46"/>
  <c r="AE15" i="45"/>
  <c r="AE53" i="45" s="1"/>
  <c r="AD212" i="45"/>
  <c r="AD202" i="45"/>
  <c r="V55" i="80"/>
  <c r="U69" i="80"/>
  <c r="U58" i="80"/>
  <c r="T73" i="80"/>
  <c r="N4" i="81"/>
  <c r="N3" i="81" s="1"/>
  <c r="N2" i="81" s="1"/>
  <c r="N93" i="81" s="1"/>
  <c r="R64" i="50"/>
  <c r="N52" i="79"/>
  <c r="Q131" i="50"/>
  <c r="AC3" i="45"/>
  <c r="X26" i="50"/>
  <c r="AC2" i="45"/>
  <c r="AC127" i="45"/>
  <c r="AC125" i="45" s="1"/>
  <c r="AC41" i="45"/>
  <c r="AC175" i="45"/>
  <c r="AD84" i="45"/>
  <c r="AD45" i="45"/>
  <c r="AD88" i="45"/>
  <c r="AD137" i="45"/>
  <c r="AD148" i="45" s="1"/>
  <c r="T17" i="79"/>
  <c r="AB117" i="45"/>
  <c r="T18" i="79" s="1"/>
  <c r="AB168" i="45"/>
  <c r="W25" i="50"/>
  <c r="W28" i="50"/>
  <c r="T33" i="79"/>
  <c r="W23" i="50"/>
  <c r="AB132" i="45"/>
  <c r="W37" i="80"/>
  <c r="V63" i="50"/>
  <c r="S51" i="79" s="1"/>
  <c r="S43" i="79"/>
  <c r="I13" i="1"/>
  <c r="AD6" i="45"/>
  <c r="AD5" i="46"/>
  <c r="S48" i="50"/>
  <c r="T29" i="50"/>
  <c r="AF12" i="46"/>
  <c r="AE10" i="45"/>
  <c r="AE172" i="45" s="1"/>
  <c r="AE136" i="45" l="1"/>
  <c r="AE147" i="45" s="1"/>
  <c r="AE85" i="45"/>
  <c r="AD5" i="45"/>
  <c r="Y12" i="50"/>
  <c r="Y9" i="50"/>
  <c r="Y10" i="50"/>
  <c r="Y11" i="50"/>
  <c r="AD82" i="45"/>
  <c r="AD44" i="45"/>
  <c r="AD134" i="45"/>
  <c r="AD145" i="45" s="1"/>
  <c r="AF15" i="46"/>
  <c r="AE13" i="45"/>
  <c r="W40" i="80"/>
  <c r="T35" i="79"/>
  <c r="W47" i="50"/>
  <c r="W38" i="50"/>
  <c r="AC139" i="45"/>
  <c r="AC150" i="45" s="1"/>
  <c r="AC118" i="45"/>
  <c r="AE47" i="45"/>
  <c r="AE204" i="45"/>
  <c r="W43" i="80"/>
  <c r="AA165" i="45"/>
  <c r="AA164" i="45"/>
  <c r="T48" i="50"/>
  <c r="U29" i="50"/>
  <c r="X124" i="50"/>
  <c r="X14" i="50"/>
  <c r="X22" i="50"/>
  <c r="AB156" i="45"/>
  <c r="AB143" i="45"/>
  <c r="T21" i="79" s="1"/>
  <c r="T20" i="79"/>
  <c r="W27" i="50"/>
  <c r="T34" i="79" s="1"/>
  <c r="W126" i="50"/>
  <c r="U61" i="80"/>
  <c r="U70" i="80"/>
  <c r="AE6" i="46"/>
  <c r="AE7" i="45"/>
  <c r="AE194" i="45" s="1"/>
  <c r="AF9" i="46"/>
  <c r="AC80" i="45"/>
  <c r="AC132" i="45"/>
  <c r="AC78" i="45"/>
  <c r="V57" i="80"/>
  <c r="V59" i="80"/>
  <c r="V71" i="80" s="1"/>
  <c r="V67" i="80"/>
  <c r="V47" i="80"/>
  <c r="AF12" i="45"/>
  <c r="AF50" i="45" s="1"/>
  <c r="AF87" i="45" s="1"/>
  <c r="AF10" i="46"/>
  <c r="AF10" i="45" s="1"/>
  <c r="X23" i="50"/>
  <c r="O4" i="81"/>
  <c r="O3" i="81" s="1"/>
  <c r="O2" i="81" s="1"/>
  <c r="O93" i="81" s="1"/>
  <c r="S64" i="50"/>
  <c r="O52" i="79"/>
  <c r="R131" i="50"/>
  <c r="AE51" i="45"/>
  <c r="AE90" i="45"/>
  <c r="W44" i="80" l="1"/>
  <c r="AE212" i="45"/>
  <c r="AE202" i="45"/>
  <c r="AF15" i="45"/>
  <c r="AF53" i="45" s="1"/>
  <c r="AF90" i="45" s="1"/>
  <c r="AF13" i="46"/>
  <c r="AF13" i="45" s="1"/>
  <c r="AC143" i="45"/>
  <c r="AC156" i="45"/>
  <c r="AE6" i="45"/>
  <c r="AE5" i="46"/>
  <c r="AB158" i="45"/>
  <c r="AE84" i="45"/>
  <c r="AE45" i="45"/>
  <c r="AD127" i="45"/>
  <c r="AD125" i="45" s="1"/>
  <c r="Y26" i="50"/>
  <c r="AD2" i="45"/>
  <c r="AD3" i="45"/>
  <c r="AD41" i="45"/>
  <c r="AD175" i="45"/>
  <c r="AF85" i="45"/>
  <c r="AF172" i="45"/>
  <c r="AF147" i="45"/>
  <c r="P4" i="81"/>
  <c r="P3" i="81" s="1"/>
  <c r="P2" i="81" s="1"/>
  <c r="P93" i="81" s="1"/>
  <c r="T64" i="50"/>
  <c r="P52" i="79"/>
  <c r="S131" i="50"/>
  <c r="U48" i="50"/>
  <c r="V29" i="50"/>
  <c r="AC117" i="45"/>
  <c r="AC168" i="45"/>
  <c r="T38" i="79"/>
  <c r="W39" i="50"/>
  <c r="Y8" i="50"/>
  <c r="Y13" i="50" s="1"/>
  <c r="AD43" i="45"/>
  <c r="AD81" i="45"/>
  <c r="AE88" i="45"/>
  <c r="AE137" i="45"/>
  <c r="AE148" i="45" s="1"/>
  <c r="W55" i="80"/>
  <c r="V69" i="80"/>
  <c r="AF9" i="45"/>
  <c r="AF7" i="46"/>
  <c r="V58" i="80"/>
  <c r="U73" i="80"/>
  <c r="W45" i="80"/>
  <c r="T43" i="79"/>
  <c r="W63" i="50"/>
  <c r="T51" i="79" s="1"/>
  <c r="T24" i="79" l="1"/>
  <c r="X25" i="50"/>
  <c r="AC158" i="45"/>
  <c r="AC160" i="45" s="1"/>
  <c r="AF6" i="46"/>
  <c r="AF7" i="45"/>
  <c r="AF194" i="45" s="1"/>
  <c r="AD80" i="45"/>
  <c r="AD78" i="45"/>
  <c r="V48" i="50"/>
  <c r="W29" i="50"/>
  <c r="AD139" i="45"/>
  <c r="AD150" i="45" s="1"/>
  <c r="AD118" i="45"/>
  <c r="AD132" i="45" s="1"/>
  <c r="AB160" i="45"/>
  <c r="W57" i="80"/>
  <c r="W67" i="80"/>
  <c r="AF47" i="45"/>
  <c r="AF204" i="45"/>
  <c r="Y124" i="50"/>
  <c r="Y14" i="50"/>
  <c r="Y22" i="50"/>
  <c r="Q4" i="81"/>
  <c r="Q3" i="81" s="1"/>
  <c r="Q2" i="81" s="1"/>
  <c r="Q93" i="81" s="1"/>
  <c r="U64" i="50"/>
  <c r="Q52" i="79"/>
  <c r="T131" i="50"/>
  <c r="AE82" i="45"/>
  <c r="AE44" i="45"/>
  <c r="AE134" i="45"/>
  <c r="AE145" i="45" s="1"/>
  <c r="AF88" i="45"/>
  <c r="AF148" i="45"/>
  <c r="V61" i="80"/>
  <c r="V70" i="80"/>
  <c r="Z9" i="50"/>
  <c r="Z10" i="50"/>
  <c r="Z11" i="50"/>
  <c r="AE5" i="45"/>
  <c r="Z12" i="50"/>
  <c r="W47" i="80"/>
  <c r="Y25" i="50" l="1"/>
  <c r="AD143" i="45"/>
  <c r="AD156" i="45"/>
  <c r="Z26" i="50"/>
  <c r="AE3" i="45"/>
  <c r="AE127" i="45"/>
  <c r="AE125" i="45" s="1"/>
  <c r="AE2" i="45"/>
  <c r="AE41" i="45"/>
  <c r="AE175" i="45"/>
  <c r="Y28" i="50"/>
  <c r="Y23" i="50"/>
  <c r="AF84" i="45"/>
  <c r="AF45" i="45"/>
  <c r="T26" i="79"/>
  <c r="AB163" i="45"/>
  <c r="T27" i="79" s="1"/>
  <c r="AB161" i="45"/>
  <c r="W48" i="50"/>
  <c r="AC163" i="45"/>
  <c r="AC161" i="45"/>
  <c r="AE81" i="45"/>
  <c r="Z8" i="50"/>
  <c r="Z13" i="50" s="1"/>
  <c r="AE43" i="45"/>
  <c r="V64" i="50"/>
  <c r="R52" i="79"/>
  <c r="U131" i="50"/>
  <c r="AD168" i="45"/>
  <c r="AD117" i="45"/>
  <c r="X126" i="50"/>
  <c r="X27" i="50"/>
  <c r="X28" i="50"/>
  <c r="X29" i="50" s="1"/>
  <c r="AF6" i="45"/>
  <c r="AF5" i="46"/>
  <c r="W58" i="80"/>
  <c r="V73" i="80"/>
  <c r="AF202" i="45"/>
  <c r="AF212" i="45"/>
  <c r="W59" i="80"/>
  <c r="W71" i="80" s="1"/>
  <c r="W69" i="80"/>
  <c r="Y27" i="50"/>
  <c r="Y126" i="50"/>
  <c r="Z14" i="50" l="1"/>
  <c r="Z124" i="50"/>
  <c r="Z22" i="50"/>
  <c r="Y38" i="50"/>
  <c r="Y47" i="50"/>
  <c r="Y63" i="50" s="1"/>
  <c r="AA11" i="50"/>
  <c r="AA10" i="50"/>
  <c r="AA12" i="50"/>
  <c r="AF5" i="45"/>
  <c r="AA9" i="50"/>
  <c r="J4" i="1"/>
  <c r="S52" i="79"/>
  <c r="W64" i="50"/>
  <c r="V131" i="50"/>
  <c r="AF44" i="45"/>
  <c r="AF134" i="45"/>
  <c r="AF145" i="45" s="1"/>
  <c r="AF82" i="45"/>
  <c r="AE139" i="45"/>
  <c r="AE150" i="45" s="1"/>
  <c r="AE118" i="45"/>
  <c r="AD158" i="45"/>
  <c r="AD160" i="45" s="1"/>
  <c r="W61" i="80"/>
  <c r="W73" i="80" s="1"/>
  <c r="W70" i="80"/>
  <c r="Y29" i="50"/>
  <c r="X48" i="50"/>
  <c r="X38" i="50"/>
  <c r="X47" i="50"/>
  <c r="AE80" i="45"/>
  <c r="AE78" i="45"/>
  <c r="AC164" i="45"/>
  <c r="AB165" i="45"/>
  <c r="AC165" i="45" s="1"/>
  <c r="AB164" i="45"/>
  <c r="AD163" i="45" l="1"/>
  <c r="AD161" i="45"/>
  <c r="Z25" i="50"/>
  <c r="Y48" i="50"/>
  <c r="T52" i="79"/>
  <c r="W131" i="50"/>
  <c r="AF127" i="45"/>
  <c r="AF125" i="45" s="1"/>
  <c r="AG2" i="45"/>
  <c r="AF3" i="45"/>
  <c r="AA26" i="50"/>
  <c r="AF2" i="45"/>
  <c r="AF41" i="45"/>
  <c r="AF175" i="45"/>
  <c r="J6" i="1"/>
  <c r="X63" i="50"/>
  <c r="X64" i="50" s="1"/>
  <c r="AE168" i="45"/>
  <c r="AE117" i="45"/>
  <c r="AE132" i="45"/>
  <c r="X39" i="50"/>
  <c r="Y39" i="50" s="1"/>
  <c r="AF81" i="45"/>
  <c r="AF43" i="45"/>
  <c r="AA8" i="50"/>
  <c r="AA13" i="50" s="1"/>
  <c r="Z23" i="50"/>
  <c r="AA14" i="50" l="1"/>
  <c r="AA124" i="50"/>
  <c r="AA22" i="50"/>
  <c r="J8" i="1"/>
  <c r="Y64" i="50"/>
  <c r="X131" i="50"/>
  <c r="Z27" i="50"/>
  <c r="Z126" i="50"/>
  <c r="AE143" i="45"/>
  <c r="AE156" i="45"/>
  <c r="AD164" i="45"/>
  <c r="AD165" i="45"/>
  <c r="AF80" i="45"/>
  <c r="AF78" i="45"/>
  <c r="Z28" i="50"/>
  <c r="AF139" i="45"/>
  <c r="AF150" i="45" s="1"/>
  <c r="AF118" i="45"/>
  <c r="Z47" i="50" l="1"/>
  <c r="Z38" i="50"/>
  <c r="Z29" i="50"/>
  <c r="AF168" i="45"/>
  <c r="AF117" i="45"/>
  <c r="AE158" i="45"/>
  <c r="AA25" i="50" s="1"/>
  <c r="AA23" i="50"/>
  <c r="AF132" i="45"/>
  <c r="Y131" i="50"/>
  <c r="AE160" i="45" l="1"/>
  <c r="AE163" i="45"/>
  <c r="AE161" i="45"/>
  <c r="Z48" i="50"/>
  <c r="AF156" i="45"/>
  <c r="AF143" i="45"/>
  <c r="J7" i="1"/>
  <c r="Z39" i="50"/>
  <c r="AA27" i="50"/>
  <c r="AA126" i="50"/>
  <c r="AA28" i="50"/>
  <c r="Z63" i="50"/>
  <c r="Z64" i="50" s="1"/>
  <c r="AA38" i="50" l="1"/>
  <c r="J11" i="1" s="1"/>
  <c r="AA47" i="50"/>
  <c r="J10" i="1"/>
  <c r="AA29" i="50"/>
  <c r="AA48" i="50" s="1"/>
  <c r="AE164" i="45"/>
  <c r="AE165" i="45"/>
  <c r="Z131" i="50"/>
  <c r="AA39" i="50"/>
  <c r="AF158" i="45"/>
  <c r="AF160" i="45" s="1"/>
  <c r="AF163" i="45" l="1"/>
  <c r="AF161" i="45"/>
  <c r="AA63" i="50"/>
  <c r="AA64" i="50" s="1"/>
  <c r="AA131" i="50" s="1"/>
  <c r="J13" i="1"/>
  <c r="AF165" i="45" l="1"/>
  <c r="AF164" i="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Usuario de Microsoft Office</author>
  </authors>
  <commentList>
    <comment ref="C116" authorId="0" shapeId="0" xr:uid="{00000000-0006-0000-0200-000001000000}">
      <text>
        <r>
          <rPr>
            <sz val="10"/>
            <color rgb="FF000000"/>
            <rFont val="Tahoma"/>
            <family val="2"/>
          </rPr>
          <t xml:space="preserve">Proyecto presupuesta 6%. 
</t>
        </r>
        <r>
          <rPr>
            <sz val="10"/>
            <color rgb="FF000000"/>
            <rFont val="Tahoma"/>
            <family val="2"/>
          </rPr>
          <t>Fzas lo reduce a 4%, por aptos que se entregan a Besco a menor costo</t>
        </r>
      </text>
    </comment>
    <comment ref="C166" authorId="1" shapeId="0" xr:uid="{00000000-0006-0000-0200-000002000000}">
      <text>
        <r>
          <rPr>
            <b/>
            <sz val="10"/>
            <color indexed="81"/>
            <rFont val="Calibri"/>
          </rPr>
          <t>Se proyecto con utilidad presupuestal y ventas proyectadas. (+ conservador)</t>
        </r>
      </text>
    </comment>
    <comment ref="C191" authorId="0" shapeId="0" xr:uid="{00000000-0006-0000-0200-000003000000}">
      <text>
        <r>
          <rPr>
            <sz val="10"/>
            <color rgb="FF000000"/>
            <rFont val="Tahoma"/>
            <family val="2"/>
          </rPr>
          <t>Se redujo del 14% en factibilidad a 10%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G171" authorId="0" shapeId="0" xr:uid="{00000000-0006-0000-0300-000001000000}">
      <text>
        <r>
          <rPr>
            <sz val="10"/>
            <color rgb="FF000000"/>
            <rFont val="Tahoma"/>
            <family val="2"/>
          </rPr>
          <t>Estoy conservando precio promedio por apto que se le van a entregar a Besco a costo. Honorarios a cero</t>
        </r>
      </text>
    </comment>
  </commentList>
</comments>
</file>

<file path=xl/sharedStrings.xml><?xml version="1.0" encoding="utf-8"?>
<sst xmlns="http://schemas.openxmlformats.org/spreadsheetml/2006/main" count="2197" uniqueCount="782">
  <si>
    <t>Incoequipos</t>
  </si>
  <si>
    <t>Oficinas Square</t>
  </si>
  <si>
    <t>Ventas</t>
  </si>
  <si>
    <t>Proyecto</t>
  </si>
  <si>
    <t>Capex</t>
  </si>
  <si>
    <t>Caja</t>
  </si>
  <si>
    <t>Construcción</t>
  </si>
  <si>
    <t>Arquitectura</t>
  </si>
  <si>
    <t>Equipos</t>
  </si>
  <si>
    <t>Renta Activos</t>
  </si>
  <si>
    <t>Inmobiliario</t>
  </si>
  <si>
    <t>Preconstrucción</t>
  </si>
  <si>
    <t>Retorno de inversion corporativa</t>
  </si>
  <si>
    <t>Real - Backlog</t>
  </si>
  <si>
    <t>Por Conseguir</t>
  </si>
  <si>
    <t>Utilidad Bruta Total</t>
  </si>
  <si>
    <t>Ventas Totales</t>
  </si>
  <si>
    <t>Ventas Negocios Externos</t>
  </si>
  <si>
    <t>Ventas Negocios Internos</t>
  </si>
  <si>
    <t>Utilidad Bruta Negocios Externos</t>
  </si>
  <si>
    <t>Utilidad Bruta Negocios Internos</t>
  </si>
  <si>
    <t>Margen Bruto Totales</t>
  </si>
  <si>
    <t>Margen Bruto Negocios Externos</t>
  </si>
  <si>
    <t>Margen Bruto Negocios Internos</t>
  </si>
  <si>
    <t>Gastos Administración y Ventas</t>
  </si>
  <si>
    <t>Corporativo</t>
  </si>
  <si>
    <t>Impuesto de renta</t>
  </si>
  <si>
    <t>Utilidad Operativa sin recurrentes</t>
  </si>
  <si>
    <t>Margen Operativo sin recurrentes</t>
  </si>
  <si>
    <t>Utilidad antes de Impuestos sin recurrentes</t>
  </si>
  <si>
    <t>Utilidad Neta sin recurrentes</t>
  </si>
  <si>
    <t>Utilidad Neta con recurrentes</t>
  </si>
  <si>
    <t>Margen neto con recurrentes</t>
  </si>
  <si>
    <t>Margen neto sin recurrentes</t>
  </si>
  <si>
    <t>Negocios Externos</t>
  </si>
  <si>
    <t>PIB</t>
  </si>
  <si>
    <t>Inflación</t>
  </si>
  <si>
    <t>INF</t>
  </si>
  <si>
    <t>SE VENDE CALIMA</t>
  </si>
  <si>
    <t>Recuperaciones</t>
  </si>
  <si>
    <t>Preconstrucciones - Gerencia pytos</t>
  </si>
  <si>
    <t>Inversiones (non-cash)</t>
  </si>
  <si>
    <t>Negocios Internamente Generados</t>
  </si>
  <si>
    <t>Amazonika</t>
  </si>
  <si>
    <t>Paris Campestre</t>
  </si>
  <si>
    <t>Real Backlog</t>
  </si>
  <si>
    <t>Proyecto 360</t>
  </si>
  <si>
    <t>Reserva de Modelia</t>
  </si>
  <si>
    <t>Camino Verde</t>
  </si>
  <si>
    <t>Manglares del Cabrero</t>
  </si>
  <si>
    <t>Participación Negocio</t>
  </si>
  <si>
    <t>PreInversiones (aportes socios)</t>
  </si>
  <si>
    <t>Devolución aporte a socios</t>
  </si>
  <si>
    <t>Tasa Interes</t>
  </si>
  <si>
    <t>Pago Lote a AIA (Si AIA es dueño y si no se considero en preinversiones)</t>
  </si>
  <si>
    <t>% Avance Costo Directo/Costo total</t>
  </si>
  <si>
    <t>Utilidad Esperada 
(Retorno Inversion Corporativa)</t>
  </si>
  <si>
    <t>50% Utilidad total Proyecto</t>
  </si>
  <si>
    <t>Vinculaciones clientes en unidades acumuladas</t>
  </si>
  <si>
    <t>Costos</t>
  </si>
  <si>
    <t>Movimientos Caja de AIA</t>
  </si>
  <si>
    <t>Giro rentabilidad inmobiliaria</t>
  </si>
  <si>
    <t>Giro AIA Arquitectura</t>
  </si>
  <si>
    <t>Giro AIA Preconstrucción</t>
  </si>
  <si>
    <t>Giro rentabilidad Construcción</t>
  </si>
  <si>
    <t>Giro Utilidad Esperada 
(Retorno Inversion Corporativa)</t>
  </si>
  <si>
    <t>Vinculaciones clientes en dinero</t>
  </si>
  <si>
    <t>Precio promedio venta</t>
  </si>
  <si>
    <t>Retefuente</t>
  </si>
  <si>
    <t>CARTERA (Con Factura)</t>
  </si>
  <si>
    <t>TERCERO</t>
  </si>
  <si>
    <t>CONSTRUCCION</t>
  </si>
  <si>
    <t>CORPORATIVO</t>
  </si>
  <si>
    <t>DISEÑO</t>
  </si>
  <si>
    <t>EQUIPOS</t>
  </si>
  <si>
    <t>OPERACIÓN Y MANTENIMIENTO</t>
  </si>
  <si>
    <t>PROYECTOS INMOBILIARIOS</t>
  </si>
  <si>
    <t>TOTAL</t>
  </si>
  <si>
    <t>Deteriorado</t>
  </si>
  <si>
    <t>Accion</t>
  </si>
  <si>
    <t>Fecha est cierre</t>
  </si>
  <si>
    <t>Recup. Patrimonio esperada c.p.</t>
  </si>
  <si>
    <t>Recup caja esperada c.p.</t>
  </si>
  <si>
    <t>Promotora Estrategias Inteligentes SAS - TERRANOVA</t>
  </si>
  <si>
    <t>Recibir apartamentos</t>
  </si>
  <si>
    <t>Fondo de adaptación - COLEGIOS</t>
  </si>
  <si>
    <t>En proceso de hacer actas de liquidación</t>
  </si>
  <si>
    <t>Proesas - SOCIO ARMENIA</t>
  </si>
  <si>
    <t>Pendiente negociar.</t>
  </si>
  <si>
    <t>Consedif SAS- CONTRATISTA COLEGIOS</t>
  </si>
  <si>
    <t>Pretender calificar 6000 millones en la 1116</t>
  </si>
  <si>
    <t>MA Ingenieros const. ltda - CONTRATISTA COLEGIOS</t>
  </si>
  <si>
    <t>Darle mas trabajo - que nos pague con eso</t>
  </si>
  <si>
    <t>Arboleda real estate services ltda - CLIENTE ARQUITECTURA</t>
  </si>
  <si>
    <t>Cobro jurídico</t>
  </si>
  <si>
    <t>Jaime Restrepo - SOCIO AIA HVR</t>
  </si>
  <si>
    <t>Socio</t>
  </si>
  <si>
    <t>Jose Luis García - LOCAL CALIMA ARMENIA</t>
  </si>
  <si>
    <t>Intento de negociación. Sino juridico</t>
  </si>
  <si>
    <t>Promotora Inm. Calycanto SAS - ARQUITECTURA</t>
  </si>
  <si>
    <t>Acierto Inmobiliario - Buscar acuerdo pago</t>
  </si>
  <si>
    <t>CUENTAS POR COBRAR (Sin Factura pero en Contabilidad)</t>
  </si>
  <si>
    <t>IDU - La 94</t>
  </si>
  <si>
    <t>Pendiente Liquidación Contrato</t>
  </si>
  <si>
    <t>HA ENGINEERING  INC</t>
  </si>
  <si>
    <t>Panamá</t>
  </si>
  <si>
    <t>ELECTRO HIDRAULICA S A</t>
  </si>
  <si>
    <t>Pendiente Supersociedades</t>
  </si>
  <si>
    <t>PROYECTOS ESTRUCTURALES SAS PROESAS</t>
  </si>
  <si>
    <t>Pendiente negociar</t>
  </si>
  <si>
    <t>GERENCIA INTERVENTORIA Y CONSTRUCCION SA</t>
  </si>
  <si>
    <t>Va a entregar local Sabaneta</t>
  </si>
  <si>
    <t>NO REGISTRADO EN LA CONTABILIDAD DE AIA</t>
  </si>
  <si>
    <t>DEPRIMIDO CALLE 94</t>
  </si>
  <si>
    <t>DOBLE CALZADA BOGOTA VILLAVICENCIO</t>
  </si>
  <si>
    <t>NEGOCIOS GIC</t>
  </si>
  <si>
    <t>HVR (Sta Fe de Antioquia)</t>
  </si>
  <si>
    <t>Decreto Alcalde - POT - Modelo fiduciario</t>
  </si>
  <si>
    <t>VENTA INTERCITY (pend Supersociedades)</t>
  </si>
  <si>
    <t>VENTA SOCIEDAD SQUARE</t>
  </si>
  <si>
    <t>TRAMITE DE LICENCIAS</t>
  </si>
  <si>
    <t>GRUPO DE EMPRESAS PIJAO</t>
  </si>
  <si>
    <t>CARTERA</t>
  </si>
  <si>
    <t>Proesas (Socio Armenia)</t>
  </si>
  <si>
    <t>JURIDICA AIA</t>
  </si>
  <si>
    <t>RECLAMACION VIGA</t>
  </si>
  <si>
    <t>GRAN TOTAL</t>
  </si>
  <si>
    <t>Fecha est. Recup</t>
  </si>
  <si>
    <t>INCOEQUIPOS</t>
  </si>
  <si>
    <t>Vender la cartera</t>
  </si>
  <si>
    <t>Venta Activos</t>
  </si>
  <si>
    <t>Túnel de Oriente</t>
  </si>
  <si>
    <t>Precio Venta</t>
  </si>
  <si>
    <t>Impuesto ganancia ocasional</t>
  </si>
  <si>
    <t>Comisiones</t>
  </si>
  <si>
    <t>Lote Amazonika</t>
  </si>
  <si>
    <t>Valor Recibido</t>
  </si>
  <si>
    <t>Comsión</t>
  </si>
  <si>
    <t>Lote Bello (Amazonika 2)</t>
  </si>
  <si>
    <t>Futuras ampliaciones Calima</t>
  </si>
  <si>
    <t>Centro Comercial Calima</t>
  </si>
  <si>
    <t>Valor Fiscal</t>
  </si>
  <si>
    <t>Impuesto</t>
  </si>
  <si>
    <t>Valor Compra</t>
  </si>
  <si>
    <t>FLUJO DE CAJA</t>
  </si>
  <si>
    <t>Negocios Externamente Generados</t>
  </si>
  <si>
    <t>Rete fuente</t>
  </si>
  <si>
    <t>Retegarantía</t>
  </si>
  <si>
    <t>%</t>
  </si>
  <si>
    <t>Años recuperación</t>
  </si>
  <si>
    <t>Cambios Working Capital</t>
  </si>
  <si>
    <t>FC AIA Negocios Externamente Generados</t>
  </si>
  <si>
    <t>FC AIA Negocios internamente Generados</t>
  </si>
  <si>
    <t>Utilidad como Inversionista</t>
  </si>
  <si>
    <t>FC AIA NEG Acum</t>
  </si>
  <si>
    <t>FC AIA NIG Acum</t>
  </si>
  <si>
    <t>1a</t>
  </si>
  <si>
    <t>1b</t>
  </si>
  <si>
    <t>2a</t>
  </si>
  <si>
    <t>2b</t>
  </si>
  <si>
    <t>4a</t>
  </si>
  <si>
    <t>FC Recuperación Cajas Atrapadas</t>
  </si>
  <si>
    <t>4b</t>
  </si>
  <si>
    <t>FC Recuperación Cajas Atrapadas acum</t>
  </si>
  <si>
    <t>5a</t>
  </si>
  <si>
    <t>FC Venta Activos</t>
  </si>
  <si>
    <t>5b</t>
  </si>
  <si>
    <t>FC Venta Activos acum</t>
  </si>
  <si>
    <t>1a+2a+3a+4a+5a</t>
  </si>
  <si>
    <t>FC AIA total sin 1116</t>
  </si>
  <si>
    <t>FC AIA total sin 1116 acum</t>
  </si>
  <si>
    <t>1b+2b+3b+4b+5b</t>
  </si>
  <si>
    <t>FC Ley 1116</t>
  </si>
  <si>
    <t>Pasivo Pensional</t>
  </si>
  <si>
    <t>FC Ley 1116 acum</t>
  </si>
  <si>
    <t>6a</t>
  </si>
  <si>
    <t>6b</t>
  </si>
  <si>
    <t>FC total AIA</t>
  </si>
  <si>
    <t>1a+2a+3a+4a+5a+6a</t>
  </si>
  <si>
    <t>1b+2b+3b+4b+5b+6b</t>
  </si>
  <si>
    <t>Manglares del Cabrero I</t>
  </si>
  <si>
    <t>Gastos/ventas</t>
  </si>
  <si>
    <t>Incremento gastos</t>
  </si>
  <si>
    <t>Camino Verde I</t>
  </si>
  <si>
    <t>Camino Verde II</t>
  </si>
  <si>
    <t>Bello</t>
  </si>
  <si>
    <t>Pago Activos a deuda</t>
  </si>
  <si>
    <t>Pago total</t>
  </si>
  <si>
    <t>Pago a principal</t>
  </si>
  <si>
    <t>Margen</t>
  </si>
  <si>
    <t>Socios</t>
  </si>
  <si>
    <t>Conaltura</t>
  </si>
  <si>
    <t>Participación AIA</t>
  </si>
  <si>
    <t>Costo</t>
  </si>
  <si>
    <t>Base</t>
  </si>
  <si>
    <t>CD</t>
  </si>
  <si>
    <t>CD = Costo Directo</t>
  </si>
  <si>
    <t>Credito Constructor</t>
  </si>
  <si>
    <t>Costo Dir. Const/Ventas</t>
  </si>
  <si>
    <t>Util proyecto/Ventas</t>
  </si>
  <si>
    <t>Ventas Arquitectura</t>
  </si>
  <si>
    <t>Ventas Construcción</t>
  </si>
  <si>
    <t>Ventas Preconstrucción</t>
  </si>
  <si>
    <t>Ingresos como inversionista</t>
  </si>
  <si>
    <t>VP</t>
  </si>
  <si>
    <t>VPA = Ventas Proyecto AIA</t>
  </si>
  <si>
    <t>VP = Ventas Proyecto Totales</t>
  </si>
  <si>
    <t>Ventas Proyecto AIA</t>
  </si>
  <si>
    <t>Costo Construcción</t>
  </si>
  <si>
    <t>Ventas Inmobiliarias</t>
  </si>
  <si>
    <t>Costo Inmobiliario</t>
  </si>
  <si>
    <t>Utilidad Inmobiliaria</t>
  </si>
  <si>
    <t>Total</t>
  </si>
  <si>
    <t>Control (debe dar 0)</t>
  </si>
  <si>
    <t>AIA</t>
  </si>
  <si>
    <t>Margen total</t>
  </si>
  <si>
    <t>Escrituración</t>
  </si>
  <si>
    <t>Escrituración a clientes en unidades acumuladas</t>
  </si>
  <si>
    <t>Escrituración a clientes en dinero acumuladas</t>
  </si>
  <si>
    <t>Precio Promedio escrituración</t>
  </si>
  <si>
    <t>Vinculaciones en sala ventas</t>
  </si>
  <si>
    <t>Saldo Credito Constructor (Si AIA no asume crédito poner 0)</t>
  </si>
  <si>
    <t>Inmobiliaria</t>
  </si>
  <si>
    <t>Nro apartamentos totales</t>
  </si>
  <si>
    <t>Ventas totales proyecto</t>
  </si>
  <si>
    <t>Ventas AIA</t>
  </si>
  <si>
    <t>Paris Campestre Et 1</t>
  </si>
  <si>
    <t>Paris Campestre Et 2</t>
  </si>
  <si>
    <t>Manglares del Cabrerro 2</t>
  </si>
  <si>
    <t>Santa Rita 1</t>
  </si>
  <si>
    <t>Santa Rita 2</t>
  </si>
  <si>
    <t>Santa Rita 3</t>
  </si>
  <si>
    <t>Peninsula Investments</t>
  </si>
  <si>
    <t>Besco</t>
  </si>
  <si>
    <t>Javier Londoño</t>
  </si>
  <si>
    <t>Estrategias 2G</t>
  </si>
  <si>
    <t>Amazonika 1 Y 2</t>
  </si>
  <si>
    <t>Amazonika 3</t>
  </si>
  <si>
    <t>Amazonika 1, 2</t>
  </si>
  <si>
    <t>Manglares del Cabrero II</t>
  </si>
  <si>
    <t>Camino Verde 1</t>
  </si>
  <si>
    <t>Camino Verde 2</t>
  </si>
  <si>
    <t>Camino Verde 3</t>
  </si>
  <si>
    <t>Camino Verde 4</t>
  </si>
  <si>
    <t>Honorarios Grupo prof</t>
  </si>
  <si>
    <t>Lote</t>
  </si>
  <si>
    <t>Utilidad</t>
  </si>
  <si>
    <t>Externos</t>
  </si>
  <si>
    <t>Peninsula</t>
  </si>
  <si>
    <t>Const</t>
  </si>
  <si>
    <t>Dispon</t>
  </si>
  <si>
    <t>Gcia</t>
  </si>
  <si>
    <t>Lote en garantia</t>
  </si>
  <si>
    <t>Lote AIA</t>
  </si>
  <si>
    <t>Lote Girardota (Bucaros)</t>
  </si>
  <si>
    <t>Gastos financieros</t>
  </si>
  <si>
    <t>Tasa interés equivalente</t>
  </si>
  <si>
    <t>Contribución negocios externos</t>
  </si>
  <si>
    <t>Contribución negocios internos</t>
  </si>
  <si>
    <t>1a+2a</t>
  </si>
  <si>
    <t>FC contribución negocios</t>
  </si>
  <si>
    <t>FC contribución negocios acum</t>
  </si>
  <si>
    <t>1b+2b</t>
  </si>
  <si>
    <t>Inversiones en proyectos</t>
  </si>
  <si>
    <t>Desinversiones de proyectos</t>
  </si>
  <si>
    <t>Desinversiones en Proyectos</t>
  </si>
  <si>
    <t>FC Operativo total</t>
  </si>
  <si>
    <t>FC Operativo Acumulado</t>
  </si>
  <si>
    <t>Bancos principal</t>
  </si>
  <si>
    <t>Pago a Bancos acumulado principal</t>
  </si>
  <si>
    <t>Construccion</t>
  </si>
  <si>
    <t>utilidad como inversionista</t>
  </si>
  <si>
    <t>Inversiones en proyectos caja</t>
  </si>
  <si>
    <t>DesInversiones en proyectos caja</t>
  </si>
  <si>
    <t>Nro proy</t>
  </si>
  <si>
    <t>Incr</t>
  </si>
  <si>
    <t>Inf</t>
  </si>
  <si>
    <t>Pago 1116</t>
  </si>
  <si>
    <t>Primera Clase</t>
  </si>
  <si>
    <t>Intereses Primera Clase</t>
  </si>
  <si>
    <t>Segunda Clase</t>
  </si>
  <si>
    <t>Cuarta Clase</t>
  </si>
  <si>
    <t>Intereses Segunda Clase</t>
  </si>
  <si>
    <t>Intereses Cuarta Clase</t>
  </si>
  <si>
    <t>Quinta Clase</t>
  </si>
  <si>
    <t>Intereses Quinta Clase</t>
  </si>
  <si>
    <t>Pago 1ra clase principal</t>
  </si>
  <si>
    <t>Pago 1ra clase intereses</t>
  </si>
  <si>
    <t>Pago 2da clase intereses</t>
  </si>
  <si>
    <t>Pago 4ta clase principal</t>
  </si>
  <si>
    <t>Pago 4ta clase intereses</t>
  </si>
  <si>
    <t>Pago 5ta clase principal</t>
  </si>
  <si>
    <t>Pago 5ta clase intereses</t>
  </si>
  <si>
    <t>Pago intereses</t>
  </si>
  <si>
    <t>Inflacion</t>
  </si>
  <si>
    <t>SALDO DEUDA TOTAL</t>
  </si>
  <si>
    <t>SALDO INTERESES TOTAL</t>
  </si>
  <si>
    <t>Neg int/Ventas totales</t>
  </si>
  <si>
    <t>Neg int/Util Bruta total</t>
  </si>
  <si>
    <t>Gastos/Ventas</t>
  </si>
  <si>
    <t>2025 en adelante</t>
  </si>
  <si>
    <t>Supuestos de Crecimiento VENTAS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</si>
  <si>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</si>
  <si>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</si>
  <si>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</si>
  <si>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</si>
  <si>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</si>
  <si>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</si>
  <si>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</si>
  <si>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</si>
  <si>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</si>
  <si>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</si>
  <si>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Año 11</t>
  </si>
  <si>
    <t>Año 12</t>
  </si>
  <si>
    <t>Año 13</t>
  </si>
  <si>
    <t>Gastos corporativos,no recurrentes, imptos</t>
  </si>
  <si>
    <t>1a+2a+3</t>
  </si>
  <si>
    <t>1b+2b+3</t>
  </si>
  <si>
    <t>Saldo caja</t>
  </si>
  <si>
    <t>Patrimonio</t>
  </si>
  <si>
    <t>% INVERSION EN NEGOCIOS TIPO</t>
  </si>
  <si>
    <t>Gastos operativos</t>
  </si>
  <si>
    <t>SI PIB&lt;0, Crecimiento 0</t>
  </si>
  <si>
    <t>Tasa interes acuerdo</t>
  </si>
  <si>
    <t>Tasa Interes Acuerdo</t>
  </si>
  <si>
    <t>Caja minima requerida en días de ventas</t>
  </si>
  <si>
    <t>Analisis Capital Trabajo para ventas Externas</t>
  </si>
  <si>
    <t>Variación ventas netas</t>
  </si>
  <si>
    <t>Capital Trabajo</t>
  </si>
  <si>
    <t>días</t>
  </si>
  <si>
    <t>Imporrenta</t>
  </si>
  <si>
    <t>Ventas totales</t>
  </si>
  <si>
    <t>Marge bruto Arquitectura</t>
  </si>
  <si>
    <t>Margen Bruto Construcción</t>
  </si>
  <si>
    <t>% participación AIA en inversión en negocios futuros</t>
  </si>
  <si>
    <t>Honor Arquitectura</t>
  </si>
  <si>
    <t>Honor Preconstrucción</t>
  </si>
  <si>
    <t>Honor Construcción</t>
  </si>
  <si>
    <t>Honor Inmobiliario</t>
  </si>
  <si>
    <t>Honor. Estructuración</t>
  </si>
  <si>
    <t>Honor Gerencia</t>
  </si>
  <si>
    <t>Honor. Ventas</t>
  </si>
  <si>
    <t>Inversiones Capex</t>
  </si>
  <si>
    <t>Días de Caja</t>
  </si>
  <si>
    <t>Flujo Caja Inversión</t>
  </si>
  <si>
    <t>Flujo Caja Inversión Acumulado</t>
  </si>
  <si>
    <t>Margen Bruto Equipos</t>
  </si>
  <si>
    <t>Racionalización de proyectos hacia aquellos mas rentables</t>
  </si>
  <si>
    <t>Ventas externas a precios de 2019</t>
  </si>
  <si>
    <t>Armenia</t>
  </si>
  <si>
    <t>Bogota</t>
  </si>
  <si>
    <t>Ctgena</t>
  </si>
  <si>
    <t>Envigado</t>
  </si>
  <si>
    <t>Ventas deflactadas a valores de 2019</t>
  </si>
  <si>
    <t>Variación de las ventas</t>
  </si>
  <si>
    <t>% abono adicional a los proveedores que otorguen 90 días de plazo para pago de facturas</t>
  </si>
  <si>
    <t>Ventas arquitectura</t>
  </si>
  <si>
    <t>Abono a Bancos del credito constructor</t>
  </si>
  <si>
    <t>Abono al Credito Constructor al Banco</t>
  </si>
  <si>
    <t>Abono al credito Constructor</t>
  </si>
  <si>
    <t>Compras mes</t>
  </si>
  <si>
    <t>Inventario</t>
  </si>
  <si>
    <t>Cartera cobro</t>
  </si>
  <si>
    <t>Cartera pago</t>
  </si>
  <si>
    <t>Cambio WC</t>
  </si>
  <si>
    <t>WC</t>
  </si>
  <si>
    <t>Pago adic</t>
  </si>
  <si>
    <t>WC/Sales</t>
  </si>
  <si>
    <t>Saldo Deuda Bancos quinta clase</t>
  </si>
  <si>
    <t>Pago Extra a Bancos Intereses segunda clase</t>
  </si>
  <si>
    <t>Pago Extra a Bancos Intereses quinta clase</t>
  </si>
  <si>
    <t xml:space="preserve">Posible Abono extra maximo a los bancos </t>
  </si>
  <si>
    <t>Factor disminución bolsa proyecto repetitivo (0-100%)</t>
  </si>
  <si>
    <t>Bolsa estimada ajustada para proyecto repetitivo (honor + util)</t>
  </si>
  <si>
    <t>Si</t>
  </si>
  <si>
    <t>No</t>
  </si>
  <si>
    <t xml:space="preserve">Flujo caja Libre </t>
  </si>
  <si>
    <t>Flujo caja Libre Acumulado</t>
  </si>
  <si>
    <t>% abono adicional CLASE 2 a los bancos que presten credito constructor (% del abono a credito constructor)</t>
  </si>
  <si>
    <t>% abono adicional CLASE 5 a los bancos que presten credito constructor (% del abono a credito constructor)</t>
  </si>
  <si>
    <t>SE VA A DAR ABONO EXTRA  A BANCOS EN LA 2DA CLASE POR HACER CREDITO CONSTRUCTOR</t>
  </si>
  <si>
    <t>SE VA A DAR ABONO EXTRA  A BANCOS EN LA 5ta CLASE POR HACER CREDITO CONSTRUCTOR</t>
  </si>
  <si>
    <t>Variables a Sensibilizar</t>
  </si>
  <si>
    <t>Rentabilidad construcción</t>
  </si>
  <si>
    <t>Rentabilidad Inmobiliaria</t>
  </si>
  <si>
    <t>Tasa del acuerdo</t>
  </si>
  <si>
    <t>Capital de Trabajo (Ventas externas)</t>
  </si>
  <si>
    <t>Margen Bruto Construcción ajustado</t>
  </si>
  <si>
    <t>Factor disminución margen bruto construcción</t>
  </si>
  <si>
    <t>Crecimiento Ventas generadas Internamente</t>
  </si>
  <si>
    <t>Crecimiento Ventas generadas Externamente</t>
  </si>
  <si>
    <t>Ventas Internas</t>
  </si>
  <si>
    <t>Ventas Externas</t>
  </si>
  <si>
    <t>Utilidad Operativa</t>
  </si>
  <si>
    <t>FC Negoc. Externos</t>
  </si>
  <si>
    <t>FC Negoc. Internos</t>
  </si>
  <si>
    <t>FC.Operativo</t>
  </si>
  <si>
    <t>FC. Libre</t>
  </si>
  <si>
    <t>FC. Venta Activos</t>
  </si>
  <si>
    <t>FC Antes 1116</t>
  </si>
  <si>
    <t>Pago Bancos</t>
  </si>
  <si>
    <t>Deuda Bancos</t>
  </si>
  <si>
    <t>2020-2024</t>
  </si>
  <si>
    <t>2025-2029</t>
  </si>
  <si>
    <t>2030-2034</t>
  </si>
  <si>
    <t>2035-2039</t>
  </si>
  <si>
    <t xml:space="preserve"> </t>
  </si>
  <si>
    <t>SALDO DEUDA BANCOS TOTAL</t>
  </si>
  <si>
    <t>ABONO INTERESES ACREEDORES</t>
  </si>
  <si>
    <t>Deuda 1116</t>
  </si>
  <si>
    <t>Saldo Caja</t>
  </si>
  <si>
    <t>Intereses Acumulados</t>
  </si>
  <si>
    <t>Causacion interes anual</t>
  </si>
  <si>
    <t>Causacion contable intereses</t>
  </si>
  <si>
    <t>NO FUNCIONA AUN</t>
  </si>
  <si>
    <t>ok</t>
  </si>
  <si>
    <t>(Solo aplica para lo por conseguir)</t>
  </si>
  <si>
    <t>Nro proy modelación (sensibilidad)</t>
  </si>
  <si>
    <t>Ingreso activos en el año</t>
  </si>
  <si>
    <t>% Pago activos</t>
  </si>
  <si>
    <t>DECLARACION RENTA 2018</t>
  </si>
  <si>
    <t>Patrimonio Bruto</t>
  </si>
  <si>
    <t>Pasivos</t>
  </si>
  <si>
    <t>Patrimonio LIQUIDO</t>
  </si>
  <si>
    <t>Tramo A Bancos</t>
  </si>
  <si>
    <t>Tramo B Bancos</t>
  </si>
  <si>
    <t>Clase 2</t>
  </si>
  <si>
    <t>Clase 5</t>
  </si>
  <si>
    <t>Pre-Construccion</t>
  </si>
  <si>
    <t>Proy. Inmob</t>
  </si>
  <si>
    <t>Inversiones</t>
  </si>
  <si>
    <r>
      <t>1.</t>
    </r>
    <r>
      <rPr>
        <sz val="10"/>
        <color rgb="FF000000"/>
        <rFont val="Century Gothic"/>
      </rPr>
      <t>Vivienda</t>
    </r>
  </si>
  <si>
    <r>
      <t>2.</t>
    </r>
    <r>
      <rPr>
        <sz val="10"/>
        <color rgb="FF000000"/>
        <rFont val="Century Gothic"/>
      </rPr>
      <t>Comercio</t>
    </r>
  </si>
  <si>
    <r>
      <t>3.</t>
    </r>
    <r>
      <rPr>
        <sz val="10"/>
        <color rgb="FF000000"/>
        <rFont val="Century Gothic"/>
      </rPr>
      <t>Institucional</t>
    </r>
  </si>
  <si>
    <r>
      <t>4.</t>
    </r>
    <r>
      <rPr>
        <sz val="10"/>
        <color rgb="FF000000"/>
        <rFont val="Century Gothic"/>
      </rPr>
      <t>Salud</t>
    </r>
  </si>
  <si>
    <r>
      <t>5.</t>
    </r>
    <r>
      <rPr>
        <sz val="10"/>
        <color rgb="FF000000"/>
        <rFont val="Century Gothic"/>
      </rPr>
      <t>Gobierno</t>
    </r>
  </si>
  <si>
    <r>
      <t>6.</t>
    </r>
    <r>
      <rPr>
        <sz val="10"/>
        <color rgb="FF000000"/>
        <rFont val="Century Gothic"/>
      </rPr>
      <t>Hoteles y Turismo</t>
    </r>
  </si>
  <si>
    <r>
      <t>7.</t>
    </r>
    <r>
      <rPr>
        <sz val="10"/>
        <color rgb="FF000000"/>
        <rFont val="Century Gothic"/>
      </rPr>
      <t>Educación</t>
    </r>
  </si>
  <si>
    <r>
      <t>8.</t>
    </r>
    <r>
      <rPr>
        <sz val="10"/>
        <color rgb="FF000000"/>
        <rFont val="Century Gothic"/>
      </rPr>
      <t>Escenarios deportivos</t>
    </r>
  </si>
  <si>
    <r>
      <t>9.</t>
    </r>
    <r>
      <rPr>
        <sz val="10"/>
        <color rgb="FF000000"/>
        <rFont val="Century Gothic"/>
      </rPr>
      <t>Infraestructura Vial (Túneles, viaductos)</t>
    </r>
  </si>
  <si>
    <r>
      <t>10.</t>
    </r>
    <r>
      <rPr>
        <sz val="10"/>
        <color rgb="FF000000"/>
        <rFont val="Century Gothic"/>
      </rPr>
      <t>Plantas Industriales</t>
    </r>
  </si>
  <si>
    <r>
      <t>11.</t>
    </r>
    <r>
      <rPr>
        <sz val="10"/>
        <color rgb="FF000000"/>
        <rFont val="Century Gothic"/>
      </rPr>
      <t>Generación eléctrica</t>
    </r>
  </si>
  <si>
    <r>
      <t>12.</t>
    </r>
    <r>
      <rPr>
        <sz val="10"/>
        <color rgb="FF000000"/>
        <rFont val="Century Gothic"/>
      </rPr>
      <t>Aeropuertos</t>
    </r>
  </si>
  <si>
    <r>
      <t>13.</t>
    </r>
    <r>
      <rPr>
        <sz val="10"/>
        <color rgb="FF000000"/>
        <rFont val="Century Gothic"/>
      </rPr>
      <t>Puertos</t>
    </r>
  </si>
  <si>
    <r>
      <t>14.</t>
    </r>
    <r>
      <rPr>
        <sz val="10"/>
        <color rgb="FF000000"/>
        <rFont val="Century Gothic"/>
      </rPr>
      <t>Agua y Saneamiento</t>
    </r>
  </si>
  <si>
    <r>
      <t>15.</t>
    </r>
    <r>
      <rPr>
        <sz val="10"/>
        <color rgb="FF000000"/>
        <rFont val="Century Gothic"/>
      </rPr>
      <t>Transporte Masivo</t>
    </r>
  </si>
  <si>
    <t>X</t>
  </si>
  <si>
    <t>IDENTIFICACION</t>
  </si>
  <si>
    <t>NOMBRE ACCIONISTA</t>
  </si>
  <si>
    <t>ACCIONES ORDINARIAS</t>
  </si>
  <si>
    <t>VALOR TOTAL ACCIONES</t>
  </si>
  <si>
    <t>PORCENTAJE PART (%)</t>
  </si>
  <si>
    <t>ASISTENCIA</t>
  </si>
  <si>
    <t>(Personal o en Representación)</t>
  </si>
  <si>
    <t>QUORUM</t>
  </si>
  <si>
    <t>LONDOÑO ANGEL NATALIA</t>
  </si>
  <si>
    <t>Personalmente</t>
  </si>
  <si>
    <t>LONDOÑO ANGEL DANIEL</t>
  </si>
  <si>
    <t>por poder</t>
  </si>
  <si>
    <t>ECHEVERRI PALACIO JAVIER</t>
  </si>
  <si>
    <t>WILLS MEJIA CLARA CECILIA</t>
  </si>
  <si>
    <t>WILLS MEJIA MARIA ELIZABETH</t>
  </si>
  <si>
    <t>WILLS MEJIA RICARDO HORACIO</t>
  </si>
  <si>
    <t>RESTREPO ACEVEDO JAIME</t>
  </si>
  <si>
    <t>MEJIA CADAVID FABIO ERNESTO</t>
  </si>
  <si>
    <t>ECHEVERRI PALACIO GONZALO</t>
  </si>
  <si>
    <t>CORDOBA JARAMILLO LILIANA</t>
  </si>
  <si>
    <t>CORDOBA JARAMILLO OLGA LUCIA</t>
  </si>
  <si>
    <t>CORDOBA JARAMILLO SILVIA ROCIO</t>
  </si>
  <si>
    <t>CORDOBA JARAMILLO CARLOS MAURICIO</t>
  </si>
  <si>
    <t>CORDOBA JARAMILLO GUSTAVO ALBERTO</t>
  </si>
  <si>
    <t>CORDOBA JARAMILLO JULIO IGNACIO</t>
  </si>
  <si>
    <t>CORDOBA JARAMILLO MARIA PATRICIA</t>
  </si>
  <si>
    <t>CORDOBA JARAMILLO NORA CECILIA</t>
  </si>
  <si>
    <t>NELLY ESTRADA Y CIA. S.C.S.</t>
  </si>
  <si>
    <t>Representación</t>
  </si>
  <si>
    <t>CORDOBA RESTREPO DIANA</t>
  </si>
  <si>
    <t>CORDOBA RESTREPO DALIA</t>
  </si>
  <si>
    <t>CORDOBA RESTREPO STELLA</t>
  </si>
  <si>
    <t>ACCIONES PROPIAS READQUIRIDAS</t>
  </si>
  <si>
    <t>OCHOA RAMIREZ DIEGO ALEJANDRO</t>
  </si>
  <si>
    <t>OCHOA RAMIREZ JULIANA</t>
  </si>
  <si>
    <t>H.A. ENGINEERING, INC.</t>
  </si>
  <si>
    <t>RAMIREZ OSPINA LUZ YANNET</t>
  </si>
  <si>
    <t>OCHOA SUAREZ LUCIANO DE JESUS-Sucesión</t>
  </si>
  <si>
    <t>TOTALES</t>
  </si>
  <si>
    <t>Familia Wills Mejía</t>
  </si>
  <si>
    <t>Familia Córdoba Jaramillo</t>
  </si>
  <si>
    <t>Familia Londoño Angel</t>
  </si>
  <si>
    <t>Javier Echeverri Palacio</t>
  </si>
  <si>
    <t>Fabio Mejía Cadavid</t>
  </si>
  <si>
    <t>Gonzalo Echeverri P.</t>
  </si>
  <si>
    <t>Nelly Estrada y Cia SAS</t>
  </si>
  <si>
    <t>Familia Córdoba Restrepo</t>
  </si>
  <si>
    <t>Familia Ochoa Ramirez</t>
  </si>
  <si>
    <t>Read</t>
  </si>
  <si>
    <t>Jaime Restrepo Acevedo</t>
  </si>
  <si>
    <t>Variable</t>
  </si>
  <si>
    <t>Valor Proy.</t>
  </si>
  <si>
    <t>Prom. AIA</t>
  </si>
  <si>
    <t>Prom Sector</t>
  </si>
  <si>
    <t>Capital Trabajo/Ventas</t>
  </si>
  <si>
    <t>MACROECONOMIAS</t>
  </si>
  <si>
    <t>NEGOCIOS EXTERNOS</t>
  </si>
  <si>
    <t>TODA LA COMPAÑÍA</t>
  </si>
  <si>
    <t>NEGOCIOS INTERNOS</t>
  </si>
  <si>
    <t>Capex (% ventas)</t>
  </si>
  <si>
    <t>Terminal de Carga Aerop. José María Córdoba</t>
  </si>
  <si>
    <t>Cliente</t>
  </si>
  <si>
    <t>Tipo Contrato</t>
  </si>
  <si>
    <t>Valor</t>
  </si>
  <si>
    <t>Ponderosa Campestre</t>
  </si>
  <si>
    <t>Ciudad</t>
  </si>
  <si>
    <t>Medellin</t>
  </si>
  <si>
    <t>Bucaramanga</t>
  </si>
  <si>
    <t>Portal Piedecuesta - Metrolínea</t>
  </si>
  <si>
    <t>Cross</t>
  </si>
  <si>
    <t>Belenus</t>
  </si>
  <si>
    <t>Ventus</t>
  </si>
  <si>
    <t>Plantee</t>
  </si>
  <si>
    <t>Ciudadela Universitaria Occidente</t>
  </si>
  <si>
    <t>Suma Global</t>
  </si>
  <si>
    <t>Precios unit</t>
  </si>
  <si>
    <t>Admon deleg</t>
  </si>
  <si>
    <t>Margen bruto renta activos</t>
  </si>
  <si>
    <t>Pago 2da Clase principal Tramo B</t>
  </si>
  <si>
    <t>Ingresos (Ventas) como inversionista</t>
  </si>
  <si>
    <t>Total Ventas</t>
  </si>
  <si>
    <t>Total Costo</t>
  </si>
  <si>
    <t>Contribución Arquitectura</t>
  </si>
  <si>
    <t>Contribución Preconstrucción</t>
  </si>
  <si>
    <t>Contribución como Inversionista</t>
  </si>
  <si>
    <t>Contribución Construcción</t>
  </si>
  <si>
    <t>Contribución Inmobiliaria</t>
  </si>
  <si>
    <t>Contribución Total</t>
  </si>
  <si>
    <t>Contribución</t>
  </si>
  <si>
    <t>$</t>
  </si>
  <si>
    <t>Bello - Ant</t>
  </si>
  <si>
    <t>Cartagena</t>
  </si>
  <si>
    <t>Santa Rita (Garantizado AIA)</t>
  </si>
  <si>
    <t>Manizales</t>
  </si>
  <si>
    <t>Subtotal</t>
  </si>
  <si>
    <t>Madera Alta</t>
  </si>
  <si>
    <t>Universidad Nacional</t>
  </si>
  <si>
    <t>Bogotá</t>
  </si>
  <si>
    <t>Sabaneta</t>
  </si>
  <si>
    <t>Cali</t>
  </si>
  <si>
    <t>Días de caja</t>
  </si>
  <si>
    <t>5 - 10</t>
  </si>
  <si>
    <t>Inf + 1%</t>
  </si>
  <si>
    <t>Proyectos por año 2025 -</t>
  </si>
  <si>
    <t>Proyectos por año hasta 2024</t>
  </si>
  <si>
    <t>Inc. Gastos inmob hasta 2023</t>
  </si>
  <si>
    <t>Inf + 8%</t>
  </si>
  <si>
    <t>FC Gastos</t>
  </si>
  <si>
    <t>Abono bancos quinta clase</t>
  </si>
  <si>
    <t>Año venta túnel</t>
  </si>
  <si>
    <t>Año</t>
  </si>
  <si>
    <t>Otros 1116</t>
  </si>
  <si>
    <t>Flujo caja Antes 1116</t>
  </si>
  <si>
    <t>Total 1116</t>
  </si>
  <si>
    <t>Cajas atrapadas</t>
  </si>
  <si>
    <t>Bancos Tramo A</t>
  </si>
  <si>
    <t>Bancos Tramo B</t>
  </si>
  <si>
    <t>Total Bancos</t>
  </si>
  <si>
    <t>Fl. Caja lib.</t>
  </si>
  <si>
    <t>Acum a Bancos</t>
  </si>
  <si>
    <t>Pago/ing activos</t>
  </si>
  <si>
    <t>Pago acum/Activos acum</t>
  </si>
  <si>
    <t>Pago desde FC a Bancos</t>
  </si>
  <si>
    <t>Pago acum bancos de activos</t>
  </si>
  <si>
    <t>Ingreso activos en garantía</t>
  </si>
  <si>
    <t>Etapa Nro</t>
  </si>
  <si>
    <t>Precio promedio</t>
  </si>
  <si>
    <t>Tiempo devolución inversión inicial</t>
  </si>
  <si>
    <t>Costos AIA</t>
  </si>
  <si>
    <t xml:space="preserve">Contribución </t>
  </si>
  <si>
    <t>Cant. Aptos</t>
  </si>
  <si>
    <t>Inversión Inicial AIA</t>
  </si>
  <si>
    <t>Socio hace inversión equivalente</t>
  </si>
  <si>
    <t>Inicio</t>
  </si>
  <si>
    <t>Estructuración</t>
  </si>
  <si>
    <t>Tiempo</t>
  </si>
  <si>
    <t>Fin</t>
  </si>
  <si>
    <t>Torre I</t>
  </si>
  <si>
    <t>Torre II</t>
  </si>
  <si>
    <t>Torre III</t>
  </si>
  <si>
    <t>Torre IV</t>
  </si>
  <si>
    <t>Credito constructor</t>
  </si>
  <si>
    <t>Caja Total</t>
  </si>
  <si>
    <t>Flujo Caja</t>
  </si>
  <si>
    <t>Las Lomitas (Garantizado AIA)</t>
  </si>
  <si>
    <t>Aytona (Firmada opción)</t>
  </si>
  <si>
    <t>El Diamante (Firmada opción)</t>
  </si>
  <si>
    <t>Proyecto en Desarrollo (Backlog)</t>
  </si>
  <si>
    <t>Proyecto en Estructuración Corto plazo (Pipeline)</t>
  </si>
  <si>
    <t>Pipeline</t>
  </si>
  <si>
    <t>Backlog</t>
  </si>
  <si>
    <t>meses</t>
  </si>
  <si>
    <t>Tiempo hasta la escrituración (meses)</t>
  </si>
  <si>
    <t>Neg Ext - Backlog</t>
  </si>
  <si>
    <t>Neg Ext - Por conseguir</t>
  </si>
  <si>
    <t>Neg Int - Backlog</t>
  </si>
  <si>
    <t>Neg Int - Pipeline</t>
  </si>
  <si>
    <t>Neg Int - Por conseguir</t>
  </si>
  <si>
    <t>Gastos corporativos de deterioro, 4 por mil,</t>
  </si>
  <si>
    <t>OJO EN LAS CELDAS SOMBREADAS VERDES SE INGRESAN LOS DATOS</t>
  </si>
  <si>
    <t>INCREMENTO EN GASTOS CONTRA EL AÑO ANTERIOR</t>
  </si>
  <si>
    <t>Repeticiones del proyecto tipico (Indica cuantos proyectos por año se van a iniciar cada año del proyecto tipo)</t>
  </si>
  <si>
    <t>Factor incremento precios, costos, etc. De proyectos inmobiliarios Inf = Inflacion</t>
  </si>
  <si>
    <t>Porcentaje del proyecto que se financia con crédito constructor en proyectos inmobiliarios</t>
  </si>
  <si>
    <t>NO FUNCIONA NO BORRAR</t>
  </si>
  <si>
    <t xml:space="preserve">Arquitectura </t>
  </si>
  <si>
    <t>Simulación completa de proyectos a conseguir (ESTE ES EL GRAN RESUMEN DE PROYECTOS A CONSEGUIR MODULANDO EL NUMERO DE PROYECTO A DESARROLLAR CADA AÑO</t>
  </si>
  <si>
    <t>Para PROYECTO TIPICO (Camino Verde) los resultados son</t>
  </si>
  <si>
    <t>Año que se evalua</t>
  </si>
  <si>
    <t>Nro proy/año</t>
  </si>
  <si>
    <t>AIA cumple su inversión al</t>
  </si>
  <si>
    <t>Para Proyecto tipo (Camino Verde) los resultados son</t>
  </si>
  <si>
    <t>TOTAL  AÑOS 19 - 39</t>
  </si>
  <si>
    <t>Tribunal Arbitramento a la ANI</t>
  </si>
  <si>
    <t>Tribunal Arbitramento al IDU</t>
  </si>
  <si>
    <t>Deterioros,4 por mil  y otros</t>
  </si>
  <si>
    <t>CONTRIBUCION TOTAL</t>
  </si>
  <si>
    <t>VENTAS TOTALES</t>
  </si>
  <si>
    <t>Pago Extra a Bancos Principal segunda clase por prestamos durante el acuerdo</t>
  </si>
  <si>
    <t>Pago Extra a Bancos Principal quinta clase por prestamos durante el acuerdo</t>
  </si>
  <si>
    <t>INFORMACION PARA LA CONSTRUCCION DEL FLUJO CAJA</t>
  </si>
  <si>
    <t>ESTA HOJA DE CALCULO NO FORMA PARTE DE LA MODELACION Y SE UTILIZA PARA HACER CALCULO ESPECIFICOS</t>
  </si>
  <si>
    <t>Venta Amazónika - Square a bancos</t>
  </si>
  <si>
    <t>Deuda Subordinada</t>
  </si>
  <si>
    <t>Acciones</t>
  </si>
  <si>
    <t>Pago a Bancos</t>
  </si>
  <si>
    <t>Recursos AIA</t>
  </si>
  <si>
    <t>Pago a Bancos de acciones</t>
  </si>
  <si>
    <t>2do pago tiene intereses</t>
  </si>
  <si>
    <t>IBR</t>
  </si>
  <si>
    <t>IBR + 1</t>
  </si>
  <si>
    <t>IBR + 2</t>
  </si>
  <si>
    <t>IBR + 3</t>
  </si>
  <si>
    <t>Recursos Netos AIA</t>
  </si>
  <si>
    <t>Tasa interes Acuerdo</t>
  </si>
  <si>
    <t>LA SENSIBILIDA DE TASA DEL ACUERDO YA NO FUNCIONA</t>
  </si>
  <si>
    <t>SI SE DESEA SIMULAR DIFERENTES TASA SE INGRESA LA TASA</t>
  </si>
  <si>
    <t>DE CADA AÑO EN LA HOJA DE PROYECCIONES</t>
  </si>
  <si>
    <t>EN LAS CELDAS G7:AD7</t>
  </si>
  <si>
    <t>Venta Tunel Destinado a bancos (ACCIONES)</t>
  </si>
  <si>
    <t>PORCENTAJE DEL ABONO A CAPITAL DE CADA PAGO QUE SE APLICA A INTERESES</t>
  </si>
  <si>
    <t>FC Ley 1116 (incluye pensiones)</t>
  </si>
  <si>
    <t>Pago acreedores 1116</t>
  </si>
  <si>
    <t>,</t>
  </si>
  <si>
    <t>Clase 1</t>
  </si>
  <si>
    <t>Principal</t>
  </si>
  <si>
    <t>Pago</t>
  </si>
  <si>
    <t>Saldo Final</t>
  </si>
  <si>
    <t>Saldo Inicial</t>
  </si>
  <si>
    <t>Intereses</t>
  </si>
  <si>
    <t>Clase 4</t>
  </si>
  <si>
    <t>Causación Intereses</t>
  </si>
  <si>
    <t>TODAS LAS CLASES</t>
  </si>
  <si>
    <t>Clase 2*</t>
  </si>
  <si>
    <t>Tasa de Interés</t>
  </si>
  <si>
    <t>IBR + 1%</t>
  </si>
  <si>
    <t>IBR + 2%</t>
  </si>
  <si>
    <t>Venta de Activos</t>
  </si>
  <si>
    <t>Concesión Tunel de Oriente</t>
  </si>
  <si>
    <t>Deuda subordinada para AIA</t>
  </si>
  <si>
    <t>90% recursos provenientes de venta de acciones para los bancos - solo a capital, 10% para AIA</t>
  </si>
  <si>
    <t>Clase 1: Fiscales</t>
  </si>
  <si>
    <t>Clase 2:</t>
  </si>
  <si>
    <t>Supone un pago de hasta 2000 millones para proveedores de pequeña cuantía que se debe pagar en 2023, pero que la compañía podra prepagar a todos aquellos proveedores de pequeñas cuantías.</t>
  </si>
  <si>
    <t>Clase 4 y 5</t>
  </si>
  <si>
    <t>Se hace el pago de capital indicado e igual se abona a intereses el 20% del capital pagado.</t>
  </si>
  <si>
    <t>Remanente de intereses clases 2, 4 y 5</t>
  </si>
  <si>
    <t>Desde la mora de cada operación hasta la confirmación del acuerdo al sector financiero</t>
  </si>
  <si>
    <t>Desde la confirmación del acuerdo hasta final año 5 acuerdo</t>
  </si>
  <si>
    <t>Desde comienzos del año 6 del acuerdo hasta final año 7 acuerdo</t>
  </si>
  <si>
    <t>Desde el comienzos del año 6 hasta el final del acuerdo</t>
  </si>
  <si>
    <t>Se paga capital e intereses 1 año después de la confirmación del acuerdo</t>
  </si>
  <si>
    <t>FORMULA DE PAGO AIA</t>
  </si>
  <si>
    <t>Efectivo y equivalentes</t>
  </si>
  <si>
    <t>Activos Financieros a Valor razonable</t>
  </si>
  <si>
    <t>Activos financieros a costo amortizado</t>
  </si>
  <si>
    <t>Activo por Impuestos corrientes</t>
  </si>
  <si>
    <t>Activos no corrientes para la venta</t>
  </si>
  <si>
    <t>Otros activos no financieros</t>
  </si>
  <si>
    <t>Activo Corriente</t>
  </si>
  <si>
    <t>Activo No Corriente</t>
  </si>
  <si>
    <t>Activo por Impto Diferido</t>
  </si>
  <si>
    <t>Propiedad Planta y Equipo</t>
  </si>
  <si>
    <t>Propiedades de inversión</t>
  </si>
  <si>
    <t>TOTAL ACTIVO</t>
  </si>
  <si>
    <t>TOTAL PASIVO</t>
  </si>
  <si>
    <t>Pasivo Corriente</t>
  </si>
  <si>
    <t>Obligaciones por arrendamientos financieros</t>
  </si>
  <si>
    <t>Pasivos medidos a costo amortizado</t>
  </si>
  <si>
    <t>Impuestos, gravámenes y tasas</t>
  </si>
  <si>
    <t>Beneficios a empleados</t>
  </si>
  <si>
    <t>Pasivos estimados y provisiones</t>
  </si>
  <si>
    <t>Ingresos recibidos por Anticipado</t>
  </si>
  <si>
    <t>Pasivo No Corriente</t>
  </si>
  <si>
    <t>Pasivo por Impuesto Diferido</t>
  </si>
  <si>
    <t>Capital Social</t>
  </si>
  <si>
    <t>Superávit de capital</t>
  </si>
  <si>
    <t>Reservas</t>
  </si>
  <si>
    <t>Resultados el ejercicio</t>
  </si>
  <si>
    <t>Resultados ejerecios anteriores</t>
  </si>
  <si>
    <t>Total Pasivo + Patrimonio</t>
  </si>
  <si>
    <t>Concesión TAO</t>
  </si>
  <si>
    <t>Inversiones Búcaros</t>
  </si>
  <si>
    <t>Otros</t>
  </si>
  <si>
    <t>Segunda Clase (túnel) - todos los bancos</t>
  </si>
  <si>
    <t>Segunda clase (derechos fiduciarios) - Bogotá, Colpatria, Sudameris, Davivienda, Caja Social</t>
  </si>
  <si>
    <t>Segunda clase (beneficio de recursos del PA a AIA por ceder el 90% a AIA) - todos los bancos</t>
  </si>
  <si>
    <t>Total Segunda Clase</t>
  </si>
  <si>
    <t>Quinta Clase Bancos</t>
  </si>
  <si>
    <t>Quinta Clase Otros</t>
  </si>
  <si>
    <t>Total Quinta Clase</t>
  </si>
  <si>
    <t>Gran Total</t>
  </si>
  <si>
    <t>CALIFICACION Y GRADUACION CON EL ACUERDO</t>
  </si>
  <si>
    <t>(HASTA EL VALOR POR EL QUE SE VENDEN LAS ACCIONES)</t>
  </si>
  <si>
    <t>Segunda Clase (otras acciones) - todos los bancos</t>
  </si>
  <si>
    <t>(LAS CABAÑITAS Y BUCAROS)</t>
  </si>
  <si>
    <t>ACTIVOS O DERECHOS ECONOMICOS CEDIDOS A FAVOR DE PA AIA-BANCOS</t>
  </si>
  <si>
    <t>Primera Clase (Fiscales)</t>
  </si>
  <si>
    <t xml:space="preserve">(POR EL VALOR QUE SE RECONOCIO EN LA AUDIENCIA POR LA SUPERSOCIEDADES. </t>
  </si>
  <si>
    <t>Pago activos a bancos en cada año</t>
  </si>
  <si>
    <t>Ingresos activos NETOS acumulado</t>
  </si>
  <si>
    <t>% recursos a bancos/Ingresos netos activos acumulados</t>
  </si>
  <si>
    <t>CAJA PARA AIA DE LA VENTA DE ACTIVOS ACUMULADA</t>
  </si>
  <si>
    <t>TASA INTERES PARA EL PYG</t>
  </si>
  <si>
    <t>Demás Activos en garantía a Bancos al venderlos (10% como anticipo al flujo de pagos, restante 90% para capital trabajo AIA)</t>
  </si>
  <si>
    <t>Calificación Supersociedades</t>
  </si>
  <si>
    <t>Por efecto del valor de venta de las acciones de la concesión Túnel</t>
  </si>
  <si>
    <t>Por efecto de ceder el 90% del valor de los activos a AIA del PA Bancos</t>
  </si>
  <si>
    <t>TOTAL EN SEGUNDA CLASE</t>
  </si>
  <si>
    <t>Calificación Supersociedades (EXCLUYENDO EL TUNEL)</t>
  </si>
  <si>
    <t>Aquellos intereses pendientes de pago serán pagados una vez se termine el pago del capital como bullet en 2031</t>
  </si>
  <si>
    <t>Pago con acuerdo 1116</t>
  </si>
  <si>
    <t>Cias Vinculadas</t>
  </si>
  <si>
    <t>Cartera</t>
  </si>
  <si>
    <t>Otras CxC</t>
  </si>
  <si>
    <t>Retegarantias</t>
  </si>
  <si>
    <t>Anticipos</t>
  </si>
  <si>
    <t>Constructora TAO</t>
  </si>
  <si>
    <t>Las Cabañitas SAS</t>
  </si>
  <si>
    <t>Anticipos recibidos</t>
  </si>
  <si>
    <t>proveedores</t>
  </si>
  <si>
    <t>futuras ampl calima</t>
  </si>
  <si>
    <t>Otros activos</t>
  </si>
  <si>
    <t>Square</t>
  </si>
  <si>
    <t>Neg Arrendamiento</t>
  </si>
  <si>
    <t>Deuda Subordinada TAO</t>
  </si>
  <si>
    <t>Inversiones y prestamos (equity inmob)</t>
  </si>
  <si>
    <t>Clientes ejec. Patrim auton (contra metodo avance hasta escrituración)</t>
  </si>
  <si>
    <t>Cias Vinculadas (6500 HA +4700 Bvvco+equities)</t>
  </si>
  <si>
    <t>Inversiones asociadas y neg. Conjuntos (equity Reserva Modelia)</t>
  </si>
  <si>
    <t>Obligaciones Financieras (Credito Constructor - 360)</t>
  </si>
  <si>
    <t>Anticipos Clientes patrimonios (Cuotas iniciales no escrituradas)</t>
  </si>
  <si>
    <t>Obligaciones Financieras (OJO HAY CREDITO CONSTRUCTOR)</t>
  </si>
  <si>
    <t>Anticipos Clientes patrimonios(cuotas iniciales)</t>
  </si>
  <si>
    <t>Escrituracion</t>
  </si>
  <si>
    <t xml:space="preserve">              </t>
  </si>
  <si>
    <t>Inversiones asociadas y neg. Conjuntos (en teoria debería ser cero pues cruza con pasivo)</t>
  </si>
  <si>
    <t>Gestiom activos (inv inmuebles por vender)</t>
  </si>
  <si>
    <t>Retenciones</t>
  </si>
  <si>
    <t>Saldo a Favor (se manejará en el pasivo)</t>
  </si>
  <si>
    <t>Cartera Clientes (HVR debe ir a cero)</t>
  </si>
  <si>
    <t>Anticipos recibidos (Es HVR va a cero)</t>
  </si>
  <si>
    <t>Cias Vinculadas (Contrapartida neg. Conjuntos activo. Debe ser cero)</t>
  </si>
  <si>
    <t>IVA</t>
  </si>
  <si>
    <t>Retefuente Proveedores</t>
  </si>
  <si>
    <t>Ind y Ccio</t>
  </si>
  <si>
    <t>Renta</t>
  </si>
  <si>
    <t>Pasivos estimados y provisiones (IDU)</t>
  </si>
  <si>
    <t>Saldo Intereses de la reorganización por pagar</t>
  </si>
  <si>
    <t>PATRIMONIO</t>
  </si>
  <si>
    <t>ANEXO No 2</t>
  </si>
  <si>
    <t>Arquitectos e Ingenieros Asociados S.A.</t>
  </si>
  <si>
    <t>Pago Capital</t>
  </si>
  <si>
    <t>Pago Intereses</t>
  </si>
  <si>
    <t>Saldo en Bancos 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</si>
</sst>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;[Red]\-&quot;$&quot;#,##0.00"/>
    <numFmt numFmtId="41" formatCode="_-* #,##0_-;\-* #,##0_-;_-* &quot;-&quot;_-;_-@_-"/>
    <numFmt numFmtId="43" formatCode="_-* #,##0.00_-;\-* #,##0.00_-;_-* &quot;-&quot;??_-;_-@_-"/>
    <numFmt numFmtId="164" formatCode="&quot;$&quot;\ #,##0.00;[Red]\-&quot;$&quot;\ #,##0.00"/>
    <numFmt numFmtId="165" formatCode="0.0%"/>
    <numFmt numFmtId="166" formatCode="_-* #,##0.00_-;\-* #,##0.00_-;_-* &quot;-&quot;_-;_-@_-"/>
    <numFmt numFmtId="167" formatCode="_-* #,##0_-;\-* #,##0_-;_-* &quot;-&quot;??_-;_-@_-"/>
    <numFmt numFmtId="168" formatCode="0.000%"/>
    <numFmt numFmtId="169" formatCode="0.0000%"/>
    <numFmt numFmtId="170" formatCode="#,##0.0"/>
    <numFmt numFmtId="171" formatCode="_-* #,##0.0_-;\-* #,##0.0_-;_-* &quot;-&quot;_-;_-@_-"/>
    <numFmt numFmtId="172" formatCode="#,##0.000000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scheme val="minor"/>
    </font>
    <font>
      <sz val="10"/>
      <color rgb="FF000000"/>
      <name val="Tahoma"/>
      <family val="2"/>
    </font>
    <font>
      <b/>
      <sz val="10"/>
      <color indexed="81"/>
      <name val="Calibri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entury Gothic"/>
    </font>
    <font>
      <sz val="10"/>
      <color theme="1"/>
      <name val="+mj-lt"/>
    </font>
    <font>
      <b/>
      <sz val="9"/>
      <color rgb="FF000000"/>
      <name val="Arial"/>
    </font>
    <font>
      <b/>
      <sz val="9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theme="1"/>
      <name val="Calibri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506">
    <xf numFmtId="0" fontId="0" fillId="0" borderId="0"/>
    <xf numFmtId="41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8">
    <xf numFmtId="0" fontId="0" fillId="0" borderId="0" xfId="0"/>
    <xf numFmtId="9" fontId="0" fillId="0" borderId="0" xfId="0" applyNumberFormat="1"/>
    <xf numFmtId="41" fontId="0" fillId="0" borderId="0" xfId="1" applyFont="1"/>
    <xf numFmtId="41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6"/>
    </xf>
    <xf numFmtId="0" fontId="0" fillId="0" borderId="0" xfId="0" applyAlignment="1">
      <alignment vertical="top"/>
    </xf>
    <xf numFmtId="41" fontId="0" fillId="0" borderId="0" xfId="1" applyFont="1" applyAlignment="1">
      <alignment horizontal="left" indent="2"/>
    </xf>
    <xf numFmtId="41" fontId="0" fillId="0" borderId="0" xfId="1" applyFont="1" applyAlignment="1">
      <alignment horizontal="left" indent="4"/>
    </xf>
    <xf numFmtId="0" fontId="0" fillId="0" borderId="0" xfId="0" applyAlignment="1">
      <alignment horizontal="left"/>
    </xf>
    <xf numFmtId="165" fontId="0" fillId="0" borderId="0" xfId="2" applyNumberFormat="1" applyFont="1"/>
    <xf numFmtId="165" fontId="0" fillId="0" borderId="0" xfId="0" applyNumberFormat="1"/>
    <xf numFmtId="1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 indent="2"/>
    </xf>
    <xf numFmtId="0" fontId="0" fillId="0" borderId="0" xfId="0" applyFill="1" applyBorder="1" applyAlignment="1">
      <alignment horizontal="left" indent="2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indent="4"/>
    </xf>
    <xf numFmtId="0" fontId="0" fillId="0" borderId="0" xfId="0" applyFill="1" applyBorder="1" applyAlignment="1">
      <alignment horizontal="left" indent="6"/>
    </xf>
    <xf numFmtId="9" fontId="0" fillId="0" borderId="0" xfId="0" applyNumberFormat="1" applyFill="1" applyBorder="1" applyAlignment="1">
      <alignment horizontal="left" indent="4"/>
    </xf>
    <xf numFmtId="0" fontId="0" fillId="0" borderId="0" xfId="0" applyFill="1" applyBorder="1" applyAlignment="1">
      <alignment horizontal="left" indent="8"/>
    </xf>
    <xf numFmtId="0" fontId="0" fillId="0" borderId="0" xfId="0" applyFill="1" applyBorder="1" applyAlignment="1">
      <alignment horizontal="left" wrapText="1" indent="6"/>
    </xf>
    <xf numFmtId="9" fontId="0" fillId="0" borderId="0" xfId="0" applyNumberFormat="1" applyAlignment="1">
      <alignment horizontal="left" indent="2"/>
    </xf>
    <xf numFmtId="9" fontId="0" fillId="0" borderId="0" xfId="0" applyNumberFormat="1" applyFill="1" applyBorder="1" applyAlignment="1">
      <alignment horizontal="left" indent="8"/>
    </xf>
    <xf numFmtId="0" fontId="0" fillId="0" borderId="0" xfId="0" applyFill="1" applyBorder="1" applyAlignment="1">
      <alignment horizontal="left" wrapText="1" indent="8"/>
    </xf>
    <xf numFmtId="166" fontId="0" fillId="0" borderId="0" xfId="1" applyNumberFormat="1" applyFont="1"/>
    <xf numFmtId="0" fontId="7" fillId="0" borderId="1" xfId="0" applyFont="1" applyBorder="1"/>
    <xf numFmtId="167" fontId="7" fillId="0" borderId="1" xfId="91" applyNumberFormat="1" applyFont="1" applyBorder="1"/>
    <xf numFmtId="167" fontId="7" fillId="0" borderId="1" xfId="91" applyNumberFormat="1" applyFont="1" applyBorder="1" applyAlignment="1">
      <alignment wrapText="1"/>
    </xf>
    <xf numFmtId="167" fontId="7" fillId="0" borderId="1" xfId="91" applyNumberFormat="1" applyFont="1" applyFill="1" applyBorder="1" applyAlignment="1">
      <alignment wrapText="1"/>
    </xf>
    <xf numFmtId="167" fontId="7" fillId="0" borderId="1" xfId="91" applyNumberFormat="1" applyFont="1" applyFill="1" applyBorder="1"/>
    <xf numFmtId="41" fontId="0" fillId="0" borderId="6" xfId="1" applyFont="1" applyFill="1" applyBorder="1"/>
    <xf numFmtId="3" fontId="0" fillId="0" borderId="1" xfId="0" applyNumberFormat="1" applyBorder="1" applyAlignment="1">
      <alignment wrapText="1"/>
    </xf>
    <xf numFmtId="3" fontId="7" fillId="0" borderId="1" xfId="91" applyNumberFormat="1" applyFont="1" applyBorder="1"/>
    <xf numFmtId="3" fontId="0" fillId="0" borderId="1" xfId="0" applyNumberFormat="1" applyBorder="1"/>
    <xf numFmtId="3" fontId="7" fillId="0" borderId="1" xfId="0" applyNumberFormat="1" applyFont="1" applyBorder="1"/>
    <xf numFmtId="3" fontId="7" fillId="0" borderId="1" xfId="0" applyNumberFormat="1" applyFont="1" applyBorder="1" applyAlignment="1">
      <alignment wrapText="1"/>
    </xf>
    <xf numFmtId="3" fontId="0" fillId="0" borderId="0" xfId="0" applyNumberFormat="1"/>
    <xf numFmtId="3" fontId="7" fillId="0" borderId="1" xfId="91" applyNumberFormat="1" applyFont="1" applyBorder="1" applyAlignment="1">
      <alignment wrapText="1"/>
    </xf>
    <xf numFmtId="3" fontId="7" fillId="0" borderId="1" xfId="91" applyNumberFormat="1" applyFont="1" applyFill="1" applyBorder="1" applyAlignment="1">
      <alignment wrapText="1"/>
    </xf>
    <xf numFmtId="3" fontId="7" fillId="0" borderId="1" xfId="91" applyNumberFormat="1" applyFont="1" applyFill="1" applyBorder="1"/>
    <xf numFmtId="3" fontId="0" fillId="0" borderId="1" xfId="0" applyNumberFormat="1" applyBorder="1" applyAlignment="1">
      <alignment horizontal="left" wrapText="1"/>
    </xf>
    <xf numFmtId="3" fontId="7" fillId="0" borderId="4" xfId="0" applyNumberFormat="1" applyFont="1" applyBorder="1"/>
    <xf numFmtId="3" fontId="7" fillId="0" borderId="4" xfId="91" applyNumberFormat="1" applyFont="1" applyBorder="1"/>
    <xf numFmtId="3" fontId="7" fillId="0" borderId="4" xfId="91" applyNumberFormat="1" applyFont="1" applyBorder="1" applyAlignment="1">
      <alignment wrapText="1"/>
    </xf>
    <xf numFmtId="3" fontId="0" fillId="0" borderId="5" xfId="0" applyNumberFormat="1" applyBorder="1" applyAlignment="1">
      <alignment vertical="center"/>
    </xf>
    <xf numFmtId="3" fontId="0" fillId="0" borderId="5" xfId="0" applyNumberFormat="1" applyBorder="1"/>
    <xf numFmtId="3" fontId="0" fillId="0" borderId="1" xfId="0" applyNumberFormat="1" applyBorder="1" applyAlignment="1">
      <alignment horizontal="left"/>
    </xf>
    <xf numFmtId="3" fontId="9" fillId="0" borderId="1" xfId="0" applyNumberFormat="1" applyFont="1" applyBorder="1"/>
    <xf numFmtId="11" fontId="0" fillId="0" borderId="0" xfId="0" applyNumberFormat="1"/>
    <xf numFmtId="3" fontId="0" fillId="0" borderId="1" xfId="1" applyNumberFormat="1" applyFont="1" applyBorder="1" applyAlignment="1">
      <alignment horizontal="right" wrapText="1"/>
    </xf>
    <xf numFmtId="41" fontId="0" fillId="0" borderId="0" xfId="1" applyFont="1" applyAlignment="1">
      <alignment wrapText="1"/>
    </xf>
    <xf numFmtId="41" fontId="0" fillId="0" borderId="0" xfId="1" applyFont="1" applyAlignment="1"/>
    <xf numFmtId="0" fontId="0" fillId="0" borderId="0" xfId="0" applyFill="1" applyBorder="1" applyAlignment="1">
      <alignment horizontal="left" wrapText="1" indent="2"/>
    </xf>
    <xf numFmtId="9" fontId="0" fillId="0" borderId="0" xfId="2" applyFont="1"/>
    <xf numFmtId="3" fontId="0" fillId="0" borderId="0" xfId="1" applyNumberFormat="1" applyFont="1"/>
    <xf numFmtId="3" fontId="0" fillId="0" borderId="0" xfId="0" applyNumberFormat="1" applyAlignment="1">
      <alignment horizontal="left" indent="2"/>
    </xf>
    <xf numFmtId="10" fontId="0" fillId="0" borderId="0" xfId="2" applyNumberFormat="1" applyFont="1"/>
    <xf numFmtId="168" fontId="0" fillId="0" borderId="0" xfId="0" applyNumberFormat="1"/>
    <xf numFmtId="0" fontId="0" fillId="3" borderId="0" xfId="0" applyFill="1"/>
    <xf numFmtId="41" fontId="0" fillId="3" borderId="0" xfId="1" applyFont="1" applyFill="1"/>
    <xf numFmtId="166" fontId="0" fillId="3" borderId="0" xfId="1" applyNumberFormat="1" applyFont="1" applyFill="1"/>
    <xf numFmtId="10" fontId="0" fillId="3" borderId="0" xfId="0" applyNumberFormat="1" applyFill="1"/>
    <xf numFmtId="41" fontId="0" fillId="0" borderId="0" xfId="1" applyFont="1" applyFill="1"/>
    <xf numFmtId="3" fontId="0" fillId="0" borderId="0" xfId="0" applyNumberFormat="1" applyAlignment="1">
      <alignment vertical="top"/>
    </xf>
    <xf numFmtId="3" fontId="0" fillId="3" borderId="0" xfId="0" applyNumberFormat="1" applyFill="1"/>
    <xf numFmtId="3" fontId="0" fillId="3" borderId="0" xfId="0" applyNumberFormat="1" applyFill="1" applyAlignment="1"/>
    <xf numFmtId="3" fontId="0" fillId="0" borderId="0" xfId="0" applyNumberFormat="1" applyAlignment="1"/>
    <xf numFmtId="3" fontId="0" fillId="3" borderId="0" xfId="1" applyNumberFormat="1" applyFont="1" applyFill="1"/>
    <xf numFmtId="165" fontId="0" fillId="3" borderId="0" xfId="2" applyNumberFormat="1" applyFont="1" applyFill="1"/>
    <xf numFmtId="41" fontId="0" fillId="3" borderId="0" xfId="0" applyNumberFormat="1" applyFill="1"/>
    <xf numFmtId="1" fontId="0" fillId="0" borderId="0" xfId="91" applyNumberFormat="1" applyFont="1" applyFill="1" applyBorder="1" applyAlignment="1">
      <alignment vertical="top"/>
    </xf>
    <xf numFmtId="2" fontId="0" fillId="0" borderId="0" xfId="0" applyNumberFormat="1"/>
    <xf numFmtId="169" fontId="0" fillId="0" borderId="0" xfId="0" applyNumberFormat="1"/>
    <xf numFmtId="0" fontId="0" fillId="0" borderId="0" xfId="0" applyFill="1" applyBorder="1" applyAlignment="1">
      <alignment horizontal="left" wrapText="1" indent="5"/>
    </xf>
    <xf numFmtId="0" fontId="0" fillId="0" borderId="0" xfId="0" applyFill="1" applyBorder="1" applyAlignment="1">
      <alignment horizontal="left" wrapText="1" indent="3"/>
    </xf>
    <xf numFmtId="9" fontId="0" fillId="0" borderId="0" xfId="0" applyNumberFormat="1" applyFill="1" applyBorder="1" applyAlignment="1">
      <alignment vertical="top"/>
    </xf>
    <xf numFmtId="41" fontId="0" fillId="0" borderId="0" xfId="1" applyFont="1" applyFill="1" applyBorder="1" applyAlignment="1">
      <alignment vertical="top"/>
    </xf>
    <xf numFmtId="41" fontId="0" fillId="0" borderId="0" xfId="1" applyFont="1" applyFill="1" applyBorder="1" applyAlignment="1"/>
    <xf numFmtId="10" fontId="0" fillId="0" borderId="0" xfId="1" applyNumberFormat="1" applyFont="1"/>
    <xf numFmtId="41" fontId="0" fillId="2" borderId="0" xfId="1" applyFont="1" applyFill="1"/>
    <xf numFmtId="0" fontId="0" fillId="4" borderId="0" xfId="0" applyFill="1"/>
    <xf numFmtId="0" fontId="0" fillId="0" borderId="0" xfId="0" applyBorder="1"/>
    <xf numFmtId="0" fontId="0" fillId="0" borderId="3" xfId="0" applyBorder="1"/>
    <xf numFmtId="0" fontId="0" fillId="4" borderId="3" xfId="0" applyFill="1" applyBorder="1"/>
    <xf numFmtId="0" fontId="0" fillId="0" borderId="8" xfId="0" applyBorder="1"/>
    <xf numFmtId="0" fontId="0" fillId="0" borderId="0" xfId="0" applyBorder="1" applyAlignment="1">
      <alignment horizontal="left" indent="2"/>
    </xf>
    <xf numFmtId="3" fontId="0" fillId="0" borderId="0" xfId="1" applyNumberFormat="1" applyFont="1" applyBorder="1"/>
    <xf numFmtId="3" fontId="0" fillId="0" borderId="3" xfId="0" applyNumberFormat="1" applyBorder="1"/>
    <xf numFmtId="0" fontId="0" fillId="0" borderId="7" xfId="0" applyBorder="1"/>
    <xf numFmtId="0" fontId="0" fillId="0" borderId="0" xfId="0" applyBorder="1" applyAlignment="1">
      <alignment vertical="top"/>
    </xf>
    <xf numFmtId="3" fontId="0" fillId="0" borderId="7" xfId="1" applyNumberFormat="1" applyFont="1" applyBorder="1"/>
    <xf numFmtId="3" fontId="0" fillId="0" borderId="8" xfId="1" applyNumberFormat="1" applyFont="1" applyBorder="1"/>
    <xf numFmtId="0" fontId="13" fillId="0" borderId="7" xfId="0" applyFont="1" applyBorder="1" applyAlignment="1">
      <alignment vertical="top"/>
    </xf>
    <xf numFmtId="165" fontId="0" fillId="0" borderId="8" xfId="2" applyNumberFormat="1" applyFont="1" applyBorder="1"/>
    <xf numFmtId="165" fontId="0" fillId="0" borderId="3" xfId="2" applyNumberFormat="1" applyFont="1" applyBorder="1"/>
    <xf numFmtId="3" fontId="13" fillId="0" borderId="7" xfId="1" applyNumberFormat="1" applyFont="1" applyBorder="1" applyAlignment="1">
      <alignment vertical="top"/>
    </xf>
    <xf numFmtId="3" fontId="0" fillId="0" borderId="8" xfId="1" applyNumberFormat="1" applyFont="1" applyBorder="1" applyAlignment="1">
      <alignment vertical="top"/>
    </xf>
    <xf numFmtId="3" fontId="0" fillId="0" borderId="0" xfId="1" applyNumberFormat="1" applyFont="1" applyBorder="1" applyAlignment="1">
      <alignment vertical="top"/>
    </xf>
    <xf numFmtId="3" fontId="0" fillId="0" borderId="0" xfId="0" applyNumberFormat="1" applyBorder="1" applyAlignment="1">
      <alignment vertical="top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vertical="top"/>
    </xf>
    <xf numFmtId="3" fontId="0" fillId="0" borderId="3" xfId="0" applyNumberFormat="1" applyBorder="1" applyAlignment="1">
      <alignment vertical="top"/>
    </xf>
    <xf numFmtId="10" fontId="0" fillId="0" borderId="3" xfId="2" applyNumberFormat="1" applyFont="1" applyBorder="1" applyAlignment="1">
      <alignment vertical="top"/>
    </xf>
    <xf numFmtId="3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0" fontId="0" fillId="0" borderId="8" xfId="0" applyBorder="1" applyAlignment="1">
      <alignment vertical="top"/>
    </xf>
    <xf numFmtId="165" fontId="0" fillId="0" borderId="3" xfId="2" applyNumberFormat="1" applyFont="1" applyBorder="1" applyAlignment="1">
      <alignment vertical="top"/>
    </xf>
    <xf numFmtId="165" fontId="13" fillId="0" borderId="7" xfId="2" applyNumberFormat="1" applyFont="1" applyBorder="1" applyAlignment="1">
      <alignment vertical="top"/>
    </xf>
    <xf numFmtId="165" fontId="0" fillId="0" borderId="8" xfId="2" applyNumberFormat="1" applyFont="1" applyBorder="1" applyAlignment="1">
      <alignment vertical="top"/>
    </xf>
    <xf numFmtId="165" fontId="0" fillId="0" borderId="0" xfId="2" applyNumberFormat="1" applyFont="1" applyBorder="1" applyAlignment="1">
      <alignment vertical="top"/>
    </xf>
    <xf numFmtId="165" fontId="0" fillId="0" borderId="0" xfId="2" applyNumberFormat="1" applyFont="1" applyAlignment="1">
      <alignment vertical="top"/>
    </xf>
    <xf numFmtId="41" fontId="0" fillId="0" borderId="0" xfId="1" applyFont="1" applyAlignment="1">
      <alignment vertical="top"/>
    </xf>
    <xf numFmtId="0" fontId="0" fillId="4" borderId="3" xfId="0" applyFill="1" applyBorder="1" applyAlignment="1">
      <alignment vertical="top"/>
    </xf>
    <xf numFmtId="0" fontId="0" fillId="0" borderId="8" xfId="0" applyBorder="1" applyAlignment="1">
      <alignment horizontal="left" indent="4"/>
    </xf>
    <xf numFmtId="10" fontId="0" fillId="0" borderId="8" xfId="2" applyNumberFormat="1" applyFont="1" applyBorder="1"/>
    <xf numFmtId="3" fontId="0" fillId="0" borderId="7" xfId="0" applyNumberFormat="1" applyBorder="1"/>
    <xf numFmtId="0" fontId="0" fillId="0" borderId="8" xfId="0" applyBorder="1" applyAlignment="1">
      <alignment horizontal="left"/>
    </xf>
    <xf numFmtId="41" fontId="0" fillId="0" borderId="0" xfId="0" applyNumberFormat="1" applyBorder="1"/>
    <xf numFmtId="0" fontId="0" fillId="0" borderId="3" xfId="0" applyBorder="1" applyAlignment="1">
      <alignment horizontal="left"/>
    </xf>
    <xf numFmtId="41" fontId="0" fillId="0" borderId="8" xfId="0" applyNumberFormat="1" applyBorder="1"/>
    <xf numFmtId="41" fontId="0" fillId="0" borderId="3" xfId="0" applyNumberFormat="1" applyBorder="1"/>
    <xf numFmtId="9" fontId="0" fillId="0" borderId="7" xfId="0" applyNumberFormat="1" applyBorder="1"/>
    <xf numFmtId="3" fontId="0" fillId="0" borderId="8" xfId="0" applyNumberFormat="1" applyBorder="1"/>
    <xf numFmtId="41" fontId="0" fillId="0" borderId="1" xfId="1" applyFont="1" applyBorder="1"/>
    <xf numFmtId="0" fontId="0" fillId="0" borderId="1" xfId="0" applyFill="1" applyBorder="1" applyAlignment="1">
      <alignment horizontal="left" wrapText="1" indent="2"/>
    </xf>
    <xf numFmtId="9" fontId="0" fillId="0" borderId="1" xfId="0" applyNumberFormat="1" applyFill="1" applyBorder="1" applyAlignment="1">
      <alignment horizontal="left" indent="8"/>
    </xf>
    <xf numFmtId="0" fontId="0" fillId="0" borderId="1" xfId="0" applyFill="1" applyBorder="1" applyAlignment="1">
      <alignment horizontal="left" wrapText="1" indent="5"/>
    </xf>
    <xf numFmtId="3" fontId="0" fillId="0" borderId="1" xfId="0" applyNumberFormat="1" applyBorder="1" applyAlignment="1">
      <alignment horizontal="left" indent="2"/>
    </xf>
    <xf numFmtId="165" fontId="0" fillId="0" borderId="0" xfId="2" applyNumberFormat="1" applyFont="1" applyAlignment="1">
      <alignment horizontal="left" indent="2"/>
    </xf>
    <xf numFmtId="10" fontId="0" fillId="0" borderId="0" xfId="2" applyNumberFormat="1" applyFont="1" applyFill="1" applyBorder="1" applyAlignment="1">
      <alignment horizontal="left" vertical="top"/>
    </xf>
    <xf numFmtId="41" fontId="0" fillId="0" borderId="1" xfId="0" applyNumberFormat="1" applyBorder="1"/>
    <xf numFmtId="0" fontId="0" fillId="4" borderId="7" xfId="0" applyFill="1" applyBorder="1"/>
    <xf numFmtId="41" fontId="0" fillId="0" borderId="8" xfId="1" applyFont="1" applyBorder="1"/>
    <xf numFmtId="41" fontId="0" fillId="0" borderId="3" xfId="1" applyFont="1" applyBorder="1"/>
    <xf numFmtId="41" fontId="0" fillId="0" borderId="0" xfId="1" applyFont="1" applyBorder="1"/>
    <xf numFmtId="9" fontId="0" fillId="0" borderId="0" xfId="0" applyNumberFormat="1" applyBorder="1"/>
    <xf numFmtId="0" fontId="0" fillId="4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8" xfId="0" applyFill="1" applyBorder="1"/>
    <xf numFmtId="41" fontId="0" fillId="4" borderId="8" xfId="1" applyFont="1" applyFill="1" applyBorder="1"/>
    <xf numFmtId="41" fontId="0" fillId="4" borderId="0" xfId="1" applyFont="1" applyFill="1" applyBorder="1"/>
    <xf numFmtId="0" fontId="0" fillId="0" borderId="0" xfId="0" applyFill="1" applyBorder="1"/>
    <xf numFmtId="170" fontId="0" fillId="0" borderId="0" xfId="0" applyNumberFormat="1"/>
    <xf numFmtId="41" fontId="0" fillId="4" borderId="0" xfId="1" applyFont="1" applyFill="1" applyAlignment="1">
      <alignment horizontal="left" indent="4"/>
    </xf>
    <xf numFmtId="0" fontId="0" fillId="4" borderId="1" xfId="0" applyFill="1" applyBorder="1"/>
    <xf numFmtId="3" fontId="0" fillId="4" borderId="0" xfId="0" applyNumberFormat="1" applyFill="1"/>
    <xf numFmtId="165" fontId="0" fillId="0" borderId="0" xfId="0" applyNumberFormat="1" applyFill="1" applyBorder="1" applyAlignment="1">
      <alignment horizontal="left" indent="8"/>
    </xf>
    <xf numFmtId="164" fontId="0" fillId="0" borderId="0" xfId="1" applyNumberFormat="1" applyFont="1"/>
    <xf numFmtId="9" fontId="0" fillId="0" borderId="0" xfId="1" applyNumberFormat="1" applyFont="1"/>
    <xf numFmtId="0" fontId="0" fillId="0" borderId="8" xfId="0" applyBorder="1" applyAlignment="1">
      <alignment horizontal="left" vertical="top" indent="2"/>
    </xf>
    <xf numFmtId="0" fontId="0" fillId="0" borderId="0" xfId="0" applyBorder="1" applyAlignment="1">
      <alignment horizontal="left" vertical="top" indent="2"/>
    </xf>
    <xf numFmtId="0" fontId="0" fillId="0" borderId="3" xfId="0" applyBorder="1" applyAlignment="1">
      <alignment horizontal="left" vertical="top" indent="2"/>
    </xf>
    <xf numFmtId="0" fontId="0" fillId="0" borderId="0" xfId="0" applyBorder="1" applyAlignment="1">
      <alignment horizontal="left" vertical="top" indent="4"/>
    </xf>
    <xf numFmtId="0" fontId="0" fillId="0" borderId="0" xfId="0" applyBorder="1" applyAlignment="1">
      <alignment horizontal="left" vertical="top" indent="6"/>
    </xf>
    <xf numFmtId="3" fontId="0" fillId="0" borderId="8" xfId="1" applyNumberFormat="1" applyFont="1" applyBorder="1" applyAlignment="1">
      <alignment horizontal="left" vertical="top" indent="2"/>
    </xf>
    <xf numFmtId="3" fontId="0" fillId="0" borderId="0" xfId="1" applyNumberFormat="1" applyFont="1" applyBorder="1" applyAlignment="1">
      <alignment horizontal="left" vertical="top" indent="2"/>
    </xf>
    <xf numFmtId="3" fontId="0" fillId="0" borderId="0" xfId="0" applyNumberFormat="1" applyBorder="1" applyAlignment="1">
      <alignment horizontal="left" vertical="top" indent="2"/>
    </xf>
    <xf numFmtId="9" fontId="10" fillId="0" borderId="0" xfId="0" applyNumberFormat="1" applyFont="1" applyBorder="1" applyAlignment="1">
      <alignment horizontal="left" vertical="top" indent="2"/>
    </xf>
    <xf numFmtId="9" fontId="0" fillId="0" borderId="0" xfId="0" applyNumberFormat="1" applyBorder="1" applyAlignment="1">
      <alignment horizontal="left" vertical="top" indent="2"/>
    </xf>
    <xf numFmtId="3" fontId="0" fillId="0" borderId="3" xfId="1" applyNumberFormat="1" applyFont="1" applyBorder="1" applyAlignment="1">
      <alignment horizontal="left" vertical="top" indent="2"/>
    </xf>
    <xf numFmtId="0" fontId="0" fillId="0" borderId="0" xfId="0" applyAlignment="1">
      <alignment horizontal="left" vertical="top" indent="4"/>
    </xf>
    <xf numFmtId="0" fontId="0" fillId="0" borderId="0" xfId="0" applyAlignment="1">
      <alignment horizontal="left" vertical="top" indent="6"/>
    </xf>
    <xf numFmtId="0" fontId="0" fillId="0" borderId="0" xfId="0" applyFill="1"/>
    <xf numFmtId="41" fontId="0" fillId="0" borderId="0" xfId="1" applyFont="1" applyFill="1" applyAlignment="1">
      <alignment horizontal="left" indent="2"/>
    </xf>
    <xf numFmtId="41" fontId="0" fillId="0" borderId="0" xfId="1" applyFont="1" applyFill="1" applyAlignment="1">
      <alignment horizontal="left" indent="4"/>
    </xf>
    <xf numFmtId="0" fontId="0" fillId="0" borderId="1" xfId="0" applyFill="1" applyBorder="1"/>
    <xf numFmtId="41" fontId="0" fillId="4" borderId="1" xfId="1" applyFont="1" applyFill="1" applyBorder="1"/>
    <xf numFmtId="0" fontId="0" fillId="4" borderId="0" xfId="0" applyFill="1" applyAlignment="1">
      <alignment horizontal="left" indent="4"/>
    </xf>
    <xf numFmtId="0" fontId="0" fillId="4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left" indent="2"/>
    </xf>
    <xf numFmtId="0" fontId="0" fillId="3" borderId="1" xfId="0" applyFill="1" applyBorder="1"/>
    <xf numFmtId="0" fontId="0" fillId="0" borderId="17" xfId="0" applyBorder="1"/>
    <xf numFmtId="10" fontId="0" fillId="3" borderId="1" xfId="0" applyNumberFormat="1" applyFill="1" applyBorder="1" applyAlignment="1">
      <alignment horizontal="left" indent="2"/>
    </xf>
    <xf numFmtId="9" fontId="0" fillId="3" borderId="1" xfId="0" applyNumberFormat="1" applyFill="1" applyBorder="1"/>
    <xf numFmtId="10" fontId="0" fillId="0" borderId="17" xfId="2" applyNumberFormat="1" applyFont="1" applyBorder="1"/>
    <xf numFmtId="10" fontId="0" fillId="3" borderId="1" xfId="2" applyNumberFormat="1" applyFont="1" applyFill="1" applyBorder="1" applyAlignment="1">
      <alignment horizontal="left" indent="2"/>
    </xf>
    <xf numFmtId="0" fontId="0" fillId="0" borderId="16" xfId="0" applyBorder="1" applyAlignment="1">
      <alignment horizontal="left" indent="4"/>
    </xf>
    <xf numFmtId="10" fontId="0" fillId="3" borderId="1" xfId="0" applyNumberFormat="1" applyFill="1" applyBorder="1" applyAlignment="1">
      <alignment horizontal="left" indent="4"/>
    </xf>
    <xf numFmtId="168" fontId="0" fillId="3" borderId="1" xfId="0" applyNumberFormat="1" applyFill="1" applyBorder="1"/>
    <xf numFmtId="9" fontId="0" fillId="0" borderId="1" xfId="0" applyNumberFormat="1" applyFill="1" applyBorder="1"/>
    <xf numFmtId="168" fontId="0" fillId="0" borderId="1" xfId="0" applyNumberFormat="1" applyFill="1" applyBorder="1"/>
    <xf numFmtId="168" fontId="0" fillId="0" borderId="1" xfId="0" applyNumberFormat="1" applyBorder="1"/>
    <xf numFmtId="168" fontId="0" fillId="0" borderId="17" xfId="0" applyNumberFormat="1" applyBorder="1"/>
    <xf numFmtId="168" fontId="0" fillId="0" borderId="1" xfId="2" applyNumberFormat="1" applyFont="1" applyFill="1" applyBorder="1"/>
    <xf numFmtId="168" fontId="0" fillId="0" borderId="1" xfId="2" applyNumberFormat="1" applyFont="1" applyBorder="1"/>
    <xf numFmtId="168" fontId="0" fillId="0" borderId="17" xfId="2" applyNumberFormat="1" applyFont="1" applyBorder="1"/>
    <xf numFmtId="0" fontId="0" fillId="0" borderId="18" xfId="0" applyBorder="1" applyAlignment="1">
      <alignment horizontal="left" indent="2"/>
    </xf>
    <xf numFmtId="168" fontId="0" fillId="0" borderId="19" xfId="2" applyNumberFormat="1" applyFont="1" applyBorder="1"/>
    <xf numFmtId="168" fontId="0" fillId="0" borderId="19" xfId="0" applyNumberFormat="1" applyBorder="1"/>
    <xf numFmtId="168" fontId="0" fillId="0" borderId="20" xfId="2" applyNumberFormat="1" applyFont="1" applyBorder="1"/>
    <xf numFmtId="0" fontId="0" fillId="0" borderId="1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9" xfId="0" applyBorder="1" applyAlignment="1">
      <alignment vertical="top"/>
    </xf>
    <xf numFmtId="9" fontId="0" fillId="4" borderId="0" xfId="0" applyNumberFormat="1" applyFill="1"/>
    <xf numFmtId="10" fontId="0" fillId="4" borderId="0" xfId="0" applyNumberFormat="1" applyFill="1"/>
    <xf numFmtId="0" fontId="0" fillId="0" borderId="10" xfId="0" applyFill="1" applyBorder="1"/>
    <xf numFmtId="171" fontId="0" fillId="0" borderId="0" xfId="1" applyNumberFormat="1" applyFont="1"/>
    <xf numFmtId="41" fontId="0" fillId="0" borderId="0" xfId="2" applyNumberFormat="1" applyFont="1"/>
    <xf numFmtId="8" fontId="0" fillId="0" borderId="0" xfId="0" applyNumberFormat="1"/>
    <xf numFmtId="0" fontId="14" fillId="4" borderId="0" xfId="0" applyFont="1" applyFill="1"/>
    <xf numFmtId="0" fontId="0" fillId="3" borderId="0" xfId="0" applyFill="1" applyAlignment="1">
      <alignment horizontal="left" indent="2"/>
    </xf>
    <xf numFmtId="165" fontId="0" fillId="4" borderId="0" xfId="0" applyNumberFormat="1" applyFill="1"/>
    <xf numFmtId="41" fontId="0" fillId="4" borderId="1" xfId="0" applyNumberFormat="1" applyFill="1" applyBorder="1"/>
    <xf numFmtId="9" fontId="0" fillId="0" borderId="0" xfId="0" applyNumberFormat="1" applyFill="1"/>
    <xf numFmtId="165" fontId="14" fillId="0" borderId="0" xfId="0" applyNumberFormat="1" applyFont="1" applyFill="1"/>
    <xf numFmtId="165" fontId="0" fillId="5" borderId="0" xfId="0" applyNumberFormat="1" applyFill="1"/>
    <xf numFmtId="165" fontId="10" fillId="4" borderId="0" xfId="0" applyNumberFormat="1" applyFont="1" applyFill="1"/>
    <xf numFmtId="10" fontId="0" fillId="0" borderId="0" xfId="0" applyNumberFormat="1" applyFill="1"/>
    <xf numFmtId="165" fontId="0" fillId="0" borderId="0" xfId="0" applyNumberFormat="1" applyFill="1" applyBorder="1" applyAlignment="1">
      <alignment horizontal="left" vertical="top" indent="2"/>
    </xf>
    <xf numFmtId="9" fontId="0" fillId="0" borderId="0" xfId="0" applyNumberFormat="1" applyFill="1" applyBorder="1" applyAlignment="1">
      <alignment horizontal="left" vertical="top" indent="2"/>
    </xf>
    <xf numFmtId="165" fontId="0" fillId="0" borderId="0" xfId="0" applyNumberFormat="1" applyFill="1"/>
    <xf numFmtId="0" fontId="0" fillId="2" borderId="0" xfId="0" applyFill="1"/>
    <xf numFmtId="0" fontId="0" fillId="2" borderId="12" xfId="0" applyFill="1" applyBorder="1"/>
    <xf numFmtId="0" fontId="0" fillId="2" borderId="3" xfId="0" applyFill="1" applyBorder="1"/>
    <xf numFmtId="41" fontId="0" fillId="2" borderId="3" xfId="1" applyFont="1" applyFill="1" applyBorder="1"/>
    <xf numFmtId="13" fontId="0" fillId="0" borderId="0" xfId="0" applyNumberFormat="1"/>
    <xf numFmtId="41" fontId="0" fillId="3" borderId="0" xfId="1" applyFont="1" applyFill="1" applyAlignment="1">
      <alignment horizontal="left" indent="2"/>
    </xf>
    <xf numFmtId="41" fontId="0" fillId="0" borderId="0" xfId="0" applyNumberFormat="1" applyFill="1"/>
    <xf numFmtId="10" fontId="0" fillId="0" borderId="0" xfId="2" applyNumberFormat="1" applyFont="1" applyFill="1" applyBorder="1" applyAlignment="1">
      <alignment horizontal="left" vertical="top" indent="2"/>
    </xf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8" fillId="6" borderId="24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3" fontId="20" fillId="0" borderId="21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3" fontId="20" fillId="0" borderId="23" xfId="0" applyNumberFormat="1" applyFont="1" applyBorder="1" applyAlignment="1">
      <alignment horizontal="right" vertical="center"/>
    </xf>
    <xf numFmtId="10" fontId="20" fillId="0" borderId="23" xfId="0" applyNumberFormat="1" applyFont="1" applyBorder="1" applyAlignment="1">
      <alignment horizontal="center" vertical="center"/>
    </xf>
    <xf numFmtId="10" fontId="21" fillId="0" borderId="23" xfId="0" applyNumberFormat="1" applyFont="1" applyBorder="1" applyAlignment="1">
      <alignment horizontal="right" vertical="center"/>
    </xf>
    <xf numFmtId="0" fontId="21" fillId="0" borderId="23" xfId="0" applyFont="1" applyBorder="1" applyAlignment="1">
      <alignment vertical="center"/>
    </xf>
    <xf numFmtId="3" fontId="20" fillId="6" borderId="21" xfId="0" applyNumberFormat="1" applyFont="1" applyFill="1" applyBorder="1" applyAlignment="1">
      <alignment horizontal="right" vertical="center"/>
    </xf>
    <xf numFmtId="0" fontId="20" fillId="6" borderId="23" xfId="0" applyFont="1" applyFill="1" applyBorder="1" applyAlignment="1">
      <alignment vertical="center"/>
    </xf>
    <xf numFmtId="3" fontId="20" fillId="6" borderId="23" xfId="0" applyNumberFormat="1" applyFont="1" applyFill="1" applyBorder="1" applyAlignment="1">
      <alignment horizontal="right" vertical="center"/>
    </xf>
    <xf numFmtId="0" fontId="20" fillId="6" borderId="23" xfId="0" applyFont="1" applyFill="1" applyBorder="1" applyAlignment="1">
      <alignment horizontal="right" vertical="center"/>
    </xf>
    <xf numFmtId="10" fontId="20" fillId="6" borderId="23" xfId="0" applyNumberFormat="1" applyFont="1" applyFill="1" applyBorder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3" fontId="18" fillId="0" borderId="23" xfId="0" applyNumberFormat="1" applyFont="1" applyBorder="1" applyAlignment="1">
      <alignment horizontal="right" vertical="center"/>
    </xf>
    <xf numFmtId="9" fontId="18" fillId="0" borderId="23" xfId="0" applyNumberFormat="1" applyFont="1" applyBorder="1" applyAlignment="1">
      <alignment horizontal="center" vertical="center"/>
    </xf>
    <xf numFmtId="10" fontId="18" fillId="0" borderId="23" xfId="0" applyNumberFormat="1" applyFont="1" applyBorder="1" applyAlignment="1">
      <alignment horizontal="right" vertical="center"/>
    </xf>
    <xf numFmtId="0" fontId="0" fillId="7" borderId="0" xfId="0" applyFill="1"/>
    <xf numFmtId="41" fontId="0" fillId="7" borderId="0" xfId="1" applyFont="1" applyFill="1"/>
    <xf numFmtId="167" fontId="0" fillId="0" borderId="1" xfId="91" applyNumberFormat="1" applyFont="1" applyBorder="1"/>
    <xf numFmtId="167" fontId="6" fillId="0" borderId="1" xfId="91" applyNumberFormat="1" applyFont="1" applyBorder="1" applyAlignment="1">
      <alignment wrapText="1"/>
    </xf>
    <xf numFmtId="167" fontId="0" fillId="0" borderId="0" xfId="0" applyNumberFormat="1"/>
    <xf numFmtId="167" fontId="0" fillId="0" borderId="0" xfId="91" applyNumberFormat="1" applyFont="1"/>
    <xf numFmtId="0" fontId="0" fillId="0" borderId="25" xfId="0" applyBorder="1" applyAlignment="1">
      <alignment horizontal="left" indent="2"/>
    </xf>
    <xf numFmtId="0" fontId="0" fillId="0" borderId="27" xfId="0" applyBorder="1" applyAlignment="1">
      <alignment horizontal="left" indent="2"/>
    </xf>
    <xf numFmtId="0" fontId="0" fillId="0" borderId="23" xfId="0" applyBorder="1"/>
    <xf numFmtId="0" fontId="0" fillId="0" borderId="29" xfId="0" applyBorder="1" applyAlignment="1">
      <alignment horizontal="left" indent="2"/>
    </xf>
    <xf numFmtId="0" fontId="0" fillId="0" borderId="31" xfId="0" applyBorder="1" applyAlignment="1">
      <alignment horizontal="left" indent="2"/>
    </xf>
    <xf numFmtId="0" fontId="0" fillId="0" borderId="29" xfId="0" applyBorder="1" applyAlignment="1">
      <alignment horizontal="left"/>
    </xf>
    <xf numFmtId="168" fontId="0" fillId="0" borderId="33" xfId="2" applyNumberFormat="1" applyFont="1" applyBorder="1"/>
    <xf numFmtId="168" fontId="0" fillId="0" borderId="34" xfId="2" applyNumberFormat="1" applyFont="1" applyBorder="1"/>
    <xf numFmtId="168" fontId="0" fillId="0" borderId="24" xfId="2" applyNumberFormat="1" applyFont="1" applyBorder="1"/>
    <xf numFmtId="168" fontId="0" fillId="0" borderId="35" xfId="2" applyNumberFormat="1" applyFont="1" applyBorder="1"/>
    <xf numFmtId="168" fontId="0" fillId="0" borderId="36" xfId="2" applyNumberFormat="1" applyFont="1" applyBorder="1"/>
    <xf numFmtId="0" fontId="0" fillId="0" borderId="29" xfId="0" applyFill="1" applyBorder="1" applyAlignment="1">
      <alignment horizontal="left" indent="2"/>
    </xf>
    <xf numFmtId="168" fontId="0" fillId="0" borderId="33" xfId="0" applyNumberFormat="1" applyBorder="1"/>
    <xf numFmtId="168" fontId="0" fillId="0" borderId="34" xfId="0" applyNumberFormat="1" applyBorder="1"/>
    <xf numFmtId="0" fontId="0" fillId="0" borderId="24" xfId="0" applyBorder="1"/>
    <xf numFmtId="168" fontId="0" fillId="0" borderId="37" xfId="2" applyNumberFormat="1" applyFont="1" applyBorder="1"/>
    <xf numFmtId="10" fontId="0" fillId="0" borderId="26" xfId="0" applyNumberFormat="1" applyBorder="1"/>
    <xf numFmtId="10" fontId="0" fillId="0" borderId="30" xfId="0" applyNumberFormat="1" applyBorder="1"/>
    <xf numFmtId="10" fontId="0" fillId="0" borderId="32" xfId="0" applyNumberFormat="1" applyBorder="1"/>
    <xf numFmtId="10" fontId="0" fillId="0" borderId="28" xfId="0" applyNumberFormat="1" applyBorder="1"/>
    <xf numFmtId="10" fontId="0" fillId="0" borderId="0" xfId="0" applyNumberFormat="1" applyBorder="1"/>
    <xf numFmtId="165" fontId="0" fillId="0" borderId="1" xfId="2" applyNumberFormat="1" applyFont="1" applyBorder="1"/>
    <xf numFmtId="0" fontId="0" fillId="0" borderId="1" xfId="0" applyBorder="1" applyAlignment="1">
      <alignment horizontal="left"/>
    </xf>
    <xf numFmtId="10" fontId="0" fillId="0" borderId="1" xfId="0" applyNumberFormat="1" applyBorder="1"/>
    <xf numFmtId="9" fontId="0" fillId="0" borderId="1" xfId="0" applyNumberFormat="1" applyBorder="1"/>
    <xf numFmtId="16" fontId="0" fillId="0" borderId="1" xfId="0" quotePrefix="1" applyNumberFormat="1" applyBorder="1" applyAlignment="1">
      <alignment horizontal="right"/>
    </xf>
    <xf numFmtId="9" fontId="0" fillId="0" borderId="1" xfId="2" applyFont="1" applyBorder="1"/>
    <xf numFmtId="0" fontId="0" fillId="0" borderId="1" xfId="0" applyBorder="1" applyAlignment="1"/>
    <xf numFmtId="0" fontId="0" fillId="0" borderId="0" xfId="0" applyAlignment="1">
      <alignment wrapText="1"/>
    </xf>
    <xf numFmtId="15" fontId="0" fillId="0" borderId="0" xfId="0" applyNumberFormat="1"/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/>
    <xf numFmtId="0" fontId="0" fillId="0" borderId="1" xfId="0" applyFill="1" applyBorder="1" applyAlignment="1">
      <alignment horizontal="left" indent="2"/>
    </xf>
    <xf numFmtId="0" fontId="0" fillId="0" borderId="6" xfId="0" applyBorder="1" applyAlignment="1">
      <alignment horizontal="left" indent="2"/>
    </xf>
    <xf numFmtId="0" fontId="0" fillId="0" borderId="6" xfId="0" applyBorder="1"/>
    <xf numFmtId="0" fontId="22" fillId="2" borderId="0" xfId="0" applyFont="1" applyFill="1"/>
    <xf numFmtId="9" fontId="0" fillId="0" borderId="0" xfId="2" applyFont="1" applyFill="1"/>
    <xf numFmtId="1" fontId="0" fillId="0" borderId="0" xfId="0" applyNumberFormat="1" applyFill="1"/>
    <xf numFmtId="0" fontId="0" fillId="0" borderId="38" xfId="0" applyBorder="1"/>
    <xf numFmtId="0" fontId="0" fillId="0" borderId="41" xfId="0" applyBorder="1"/>
    <xf numFmtId="0" fontId="0" fillId="0" borderId="42" xfId="0" applyBorder="1"/>
    <xf numFmtId="3" fontId="0" fillId="0" borderId="0" xfId="0" applyNumberFormat="1" applyBorder="1"/>
    <xf numFmtId="3" fontId="0" fillId="0" borderId="24" xfId="0" applyNumberFormat="1" applyBorder="1"/>
    <xf numFmtId="0" fontId="0" fillId="0" borderId="45" xfId="0" applyBorder="1"/>
    <xf numFmtId="41" fontId="0" fillId="0" borderId="45" xfId="1" applyFont="1" applyBorder="1"/>
    <xf numFmtId="41" fontId="0" fillId="0" borderId="23" xfId="1" applyFont="1" applyBorder="1"/>
    <xf numFmtId="0" fontId="0" fillId="0" borderId="47" xfId="0" applyBorder="1"/>
    <xf numFmtId="0" fontId="0" fillId="0" borderId="48" xfId="0" applyBorder="1"/>
    <xf numFmtId="3" fontId="0" fillId="0" borderId="45" xfId="0" applyNumberFormat="1" applyBorder="1"/>
    <xf numFmtId="3" fontId="0" fillId="0" borderId="23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0" fontId="0" fillId="0" borderId="49" xfId="0" applyBorder="1"/>
    <xf numFmtId="0" fontId="0" fillId="0" borderId="22" xfId="0" applyBorder="1"/>
    <xf numFmtId="0" fontId="0" fillId="0" borderId="21" xfId="0" applyBorder="1"/>
    <xf numFmtId="0" fontId="0" fillId="7" borderId="48" xfId="0" applyFill="1" applyBorder="1" applyAlignment="1">
      <alignment horizontal="center" vertical="top" wrapText="1"/>
    </xf>
    <xf numFmtId="3" fontId="0" fillId="0" borderId="22" xfId="0" applyNumberFormat="1" applyBorder="1"/>
    <xf numFmtId="3" fontId="0" fillId="0" borderId="21" xfId="0" applyNumberFormat="1" applyBorder="1"/>
    <xf numFmtId="3" fontId="0" fillId="0" borderId="49" xfId="0" applyNumberFormat="1" applyBorder="1"/>
    <xf numFmtId="0" fontId="0" fillId="7" borderId="49" xfId="0" applyFill="1" applyBorder="1"/>
    <xf numFmtId="0" fontId="0" fillId="7" borderId="21" xfId="0" applyFill="1" applyBorder="1"/>
    <xf numFmtId="0" fontId="0" fillId="7" borderId="47" xfId="0" applyFill="1" applyBorder="1"/>
    <xf numFmtId="0" fontId="0" fillId="7" borderId="48" xfId="0" applyFill="1" applyBorder="1"/>
    <xf numFmtId="3" fontId="0" fillId="7" borderId="1" xfId="91" applyNumberFormat="1" applyFont="1" applyFill="1" applyBorder="1"/>
    <xf numFmtId="3" fontId="0" fillId="7" borderId="1" xfId="0" applyNumberFormat="1" applyFill="1" applyBorder="1" applyAlignment="1">
      <alignment wrapText="1"/>
    </xf>
    <xf numFmtId="3" fontId="0" fillId="7" borderId="1" xfId="0" applyNumberFormat="1" applyFill="1" applyBorder="1"/>
    <xf numFmtId="41" fontId="0" fillId="0" borderId="24" xfId="1" applyFont="1" applyBorder="1"/>
    <xf numFmtId="0" fontId="0" fillId="0" borderId="43" xfId="0" applyBorder="1" applyAlignment="1">
      <alignment horizontal="left" indent="2"/>
    </xf>
    <xf numFmtId="41" fontId="0" fillId="0" borderId="22" xfId="0" applyNumberFormat="1" applyBorder="1"/>
    <xf numFmtId="41" fontId="0" fillId="0" borderId="21" xfId="0" applyNumberFormat="1" applyBorder="1"/>
    <xf numFmtId="0" fontId="0" fillId="0" borderId="46" xfId="0" applyBorder="1"/>
    <xf numFmtId="0" fontId="0" fillId="0" borderId="39" xfId="0" applyBorder="1"/>
    <xf numFmtId="1" fontId="0" fillId="0" borderId="47" xfId="0" applyNumberFormat="1" applyBorder="1"/>
    <xf numFmtId="41" fontId="0" fillId="0" borderId="39" xfId="0" applyNumberFormat="1" applyBorder="1"/>
    <xf numFmtId="41" fontId="0" fillId="0" borderId="47" xfId="1" applyFont="1" applyBorder="1"/>
    <xf numFmtId="41" fontId="0" fillId="0" borderId="48" xfId="1" applyFont="1" applyBorder="1"/>
    <xf numFmtId="41" fontId="0" fillId="0" borderId="49" xfId="0" applyNumberFormat="1" applyBorder="1"/>
    <xf numFmtId="41" fontId="0" fillId="0" borderId="41" xfId="1" applyFont="1" applyBorder="1"/>
    <xf numFmtId="41" fontId="0" fillId="0" borderId="42" xfId="1" applyFont="1" applyBorder="1"/>
    <xf numFmtId="0" fontId="0" fillId="0" borderId="44" xfId="0" applyBorder="1" applyAlignment="1">
      <alignment horizontal="left" indent="2"/>
    </xf>
    <xf numFmtId="0" fontId="0" fillId="7" borderId="40" xfId="0" applyFill="1" applyBorder="1"/>
    <xf numFmtId="0" fontId="0" fillId="7" borderId="42" xfId="0" applyFill="1" applyBorder="1"/>
    <xf numFmtId="0" fontId="0" fillId="7" borderId="40" xfId="0" applyFill="1" applyBorder="1" applyAlignment="1">
      <alignment horizontal="left"/>
    </xf>
    <xf numFmtId="41" fontId="0" fillId="7" borderId="0" xfId="1" applyFont="1" applyFill="1" applyBorder="1"/>
    <xf numFmtId="41" fontId="0" fillId="7" borderId="24" xfId="1" applyFont="1" applyFill="1" applyBorder="1"/>
    <xf numFmtId="41" fontId="0" fillId="0" borderId="45" xfId="1" applyFont="1" applyFill="1" applyBorder="1"/>
    <xf numFmtId="41" fontId="0" fillId="0" borderId="23" xfId="1" applyFont="1" applyFill="1" applyBorder="1"/>
    <xf numFmtId="9" fontId="0" fillId="7" borderId="0" xfId="0" applyNumberFormat="1" applyFill="1"/>
    <xf numFmtId="41" fontId="0" fillId="7" borderId="45" xfId="1" applyFont="1" applyFill="1" applyBorder="1"/>
    <xf numFmtId="9" fontId="0" fillId="0" borderId="0" xfId="2" applyFont="1" applyBorder="1" applyAlignment="1">
      <alignment horizontal="left" vertical="top" indent="2"/>
    </xf>
    <xf numFmtId="10" fontId="0" fillId="0" borderId="0" xfId="0" applyNumberFormat="1" applyFill="1" applyAlignment="1">
      <alignment horizontal="left" indent="2"/>
    </xf>
    <xf numFmtId="41" fontId="0" fillId="0" borderId="8" xfId="1" applyFont="1" applyFill="1" applyBorder="1"/>
    <xf numFmtId="41" fontId="0" fillId="0" borderId="3" xfId="1" applyFont="1" applyFill="1" applyBorder="1"/>
    <xf numFmtId="41" fontId="0" fillId="0" borderId="0" xfId="1" applyFont="1" applyFill="1" applyBorder="1"/>
    <xf numFmtId="0" fontId="0" fillId="0" borderId="8" xfId="0" applyFill="1" applyBorder="1"/>
    <xf numFmtId="0" fontId="0" fillId="0" borderId="3" xfId="0" applyFill="1" applyBorder="1"/>
    <xf numFmtId="165" fontId="0" fillId="0" borderId="3" xfId="0" applyNumberFormat="1" applyFill="1" applyBorder="1"/>
    <xf numFmtId="165" fontId="0" fillId="0" borderId="0" xfId="0" applyNumberFormat="1" applyFill="1" applyBorder="1"/>
    <xf numFmtId="0" fontId="0" fillId="0" borderId="38" xfId="0" applyFill="1" applyBorder="1"/>
    <xf numFmtId="41" fontId="0" fillId="0" borderId="38" xfId="1" applyFont="1" applyBorder="1"/>
    <xf numFmtId="0" fontId="9" fillId="2" borderId="0" xfId="0" applyFont="1" applyFill="1"/>
    <xf numFmtId="165" fontId="0" fillId="7" borderId="0" xfId="0" applyNumberFormat="1" applyFill="1"/>
    <xf numFmtId="10" fontId="0" fillId="7" borderId="0" xfId="0" applyNumberFormat="1" applyFill="1"/>
    <xf numFmtId="10" fontId="0" fillId="0" borderId="22" xfId="0" applyNumberFormat="1" applyBorder="1"/>
    <xf numFmtId="0" fontId="15" fillId="0" borderId="0" xfId="0" applyFont="1" applyBorder="1"/>
    <xf numFmtId="41" fontId="0" fillId="0" borderId="24" xfId="1" applyFont="1" applyFill="1" applyBorder="1"/>
    <xf numFmtId="9" fontId="0" fillId="0" borderId="22" xfId="2" applyFont="1" applyBorder="1"/>
    <xf numFmtId="9" fontId="0" fillId="0" borderId="22" xfId="0" applyNumberFormat="1" applyBorder="1"/>
    <xf numFmtId="0" fontId="0" fillId="0" borderId="0" xfId="0" applyBorder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left" vertical="top" wrapText="1"/>
    </xf>
    <xf numFmtId="172" fontId="0" fillId="0" borderId="0" xfId="0" applyNumberFormat="1"/>
    <xf numFmtId="165" fontId="0" fillId="0" borderId="0" xfId="2" applyNumberFormat="1" applyFont="1" applyFill="1"/>
    <xf numFmtId="41" fontId="0" fillId="0" borderId="0" xfId="1" applyNumberFormat="1" applyFont="1"/>
    <xf numFmtId="168" fontId="0" fillId="0" borderId="0" xfId="2" applyNumberFormat="1" applyFont="1"/>
    <xf numFmtId="10" fontId="0" fillId="0" borderId="1" xfId="0" applyNumberFormat="1" applyFill="1" applyBorder="1"/>
    <xf numFmtId="3" fontId="0" fillId="0" borderId="1" xfId="0" applyNumberFormat="1" applyFill="1" applyBorder="1"/>
    <xf numFmtId="3" fontId="0" fillId="0" borderId="0" xfId="0" applyNumberFormat="1" applyFill="1"/>
    <xf numFmtId="41" fontId="0" fillId="0" borderId="1" xfId="1" applyFont="1" applyFill="1" applyBorder="1"/>
    <xf numFmtId="3" fontId="23" fillId="0" borderId="1" xfId="0" applyNumberFormat="1" applyFont="1" applyFill="1" applyBorder="1"/>
    <xf numFmtId="3" fontId="23" fillId="0" borderId="0" xfId="0" applyNumberFormat="1" applyFont="1" applyFill="1"/>
    <xf numFmtId="0" fontId="0" fillId="0" borderId="8" xfId="0" applyFill="1" applyBorder="1" applyAlignment="1">
      <alignment horizontal="left" vertical="top"/>
    </xf>
    <xf numFmtId="0" fontId="0" fillId="0" borderId="8" xfId="0" applyFill="1" applyBorder="1" applyAlignment="1">
      <alignment horizontal="center" vertical="center"/>
    </xf>
    <xf numFmtId="3" fontId="0" fillId="0" borderId="8" xfId="0" applyNumberFormat="1" applyFill="1" applyBorder="1"/>
    <xf numFmtId="3" fontId="0" fillId="0" borderId="0" xfId="0" applyNumberFormat="1" applyFill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7"/>
    </xf>
    <xf numFmtId="41" fontId="0" fillId="0" borderId="0" xfId="1" applyNumberFormat="1" applyFont="1" applyAlignment="1">
      <alignment horizontal="left" indent="2"/>
    </xf>
    <xf numFmtId="0" fontId="0" fillId="0" borderId="0" xfId="0" applyAlignment="1">
      <alignment horizontal="left" vertical="top" wrapText="1"/>
    </xf>
    <xf numFmtId="0" fontId="0" fillId="7" borderId="46" xfId="0" applyFill="1" applyBorder="1" applyAlignment="1">
      <alignment horizontal="left" vertical="top" wrapText="1"/>
    </xf>
    <xf numFmtId="0" fontId="0" fillId="7" borderId="47" xfId="0" applyFill="1" applyBorder="1" applyAlignment="1">
      <alignment horizontal="left" vertical="top" wrapText="1"/>
    </xf>
    <xf numFmtId="0" fontId="0" fillId="7" borderId="48" xfId="0" applyFill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indent="2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2506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" xfId="646" builtinId="8" hidden="1"/>
    <cellStyle name="Hipervínculo" xfId="648" builtinId="8" hidden="1"/>
    <cellStyle name="Hipervínculo" xfId="650" builtinId="8" hidden="1"/>
    <cellStyle name="Hipervínculo" xfId="652" builtinId="8" hidden="1"/>
    <cellStyle name="Hipervínculo" xfId="654" builtinId="8" hidden="1"/>
    <cellStyle name="Hipervínculo" xfId="656" builtinId="8" hidden="1"/>
    <cellStyle name="Hipervínculo" xfId="658" builtinId="8" hidden="1"/>
    <cellStyle name="Hipervínculo" xfId="660" builtinId="8" hidden="1"/>
    <cellStyle name="Hipervínculo" xfId="662" builtinId="8" hidden="1"/>
    <cellStyle name="Hipervínculo" xfId="664" builtinId="8" hidden="1"/>
    <cellStyle name="Hipervínculo" xfId="666" builtinId="8" hidden="1"/>
    <cellStyle name="Hipervínculo" xfId="668" builtinId="8" hidden="1"/>
    <cellStyle name="Hipervínculo" xfId="670" builtinId="8" hidden="1"/>
    <cellStyle name="Hipervínculo" xfId="672" builtinId="8" hidden="1"/>
    <cellStyle name="Hipervínculo" xfId="674" builtinId="8" hidden="1"/>
    <cellStyle name="Hipervínculo" xfId="676" builtinId="8" hidden="1"/>
    <cellStyle name="Hipervínculo" xfId="678" builtinId="8" hidden="1"/>
    <cellStyle name="Hipervínculo" xfId="680" builtinId="8" hidden="1"/>
    <cellStyle name="Hipervínculo" xfId="682" builtinId="8" hidden="1"/>
    <cellStyle name="Hipervínculo" xfId="684" builtinId="8" hidden="1"/>
    <cellStyle name="Hipervínculo" xfId="686" builtinId="8" hidden="1"/>
    <cellStyle name="Hipervínculo" xfId="688" builtinId="8" hidden="1"/>
    <cellStyle name="Hipervínculo" xfId="690" builtinId="8" hidden="1"/>
    <cellStyle name="Hipervínculo" xfId="692" builtinId="8" hidden="1"/>
    <cellStyle name="Hipervínculo" xfId="694" builtinId="8" hidden="1"/>
    <cellStyle name="Hipervínculo" xfId="696" builtinId="8" hidden="1"/>
    <cellStyle name="Hipervínculo" xfId="698" builtinId="8" hidden="1"/>
    <cellStyle name="Hipervínculo" xfId="700" builtinId="8" hidden="1"/>
    <cellStyle name="Hipervínculo" xfId="702" builtinId="8" hidden="1"/>
    <cellStyle name="Hipervínculo" xfId="704" builtinId="8" hidden="1"/>
    <cellStyle name="Hipervínculo" xfId="706" builtinId="8" hidden="1"/>
    <cellStyle name="Hipervínculo" xfId="708" builtinId="8" hidden="1"/>
    <cellStyle name="Hipervínculo" xfId="710" builtinId="8" hidden="1"/>
    <cellStyle name="Hipervínculo" xfId="712" builtinId="8" hidden="1"/>
    <cellStyle name="Hipervínculo" xfId="714" builtinId="8" hidden="1"/>
    <cellStyle name="Hipervínculo" xfId="716" builtinId="8" hidden="1"/>
    <cellStyle name="Hipervínculo" xfId="718" builtinId="8" hidden="1"/>
    <cellStyle name="Hipervínculo" xfId="720" builtinId="8" hidden="1"/>
    <cellStyle name="Hipervínculo" xfId="722" builtinId="8" hidden="1"/>
    <cellStyle name="Hipervínculo" xfId="724" builtinId="8" hidden="1"/>
    <cellStyle name="Hipervínculo" xfId="726" builtinId="8" hidden="1"/>
    <cellStyle name="Hipervínculo" xfId="728" builtinId="8" hidden="1"/>
    <cellStyle name="Hipervínculo" xfId="730" builtinId="8" hidden="1"/>
    <cellStyle name="Hipervínculo" xfId="732" builtinId="8" hidden="1"/>
    <cellStyle name="Hipervínculo" xfId="734" builtinId="8" hidden="1"/>
    <cellStyle name="Hipervínculo" xfId="736" builtinId="8" hidden="1"/>
    <cellStyle name="Hipervínculo" xfId="738" builtinId="8" hidden="1"/>
    <cellStyle name="Hipervínculo" xfId="740" builtinId="8" hidden="1"/>
    <cellStyle name="Hipervínculo" xfId="742" builtinId="8" hidden="1"/>
    <cellStyle name="Hipervínculo" xfId="744" builtinId="8" hidden="1"/>
    <cellStyle name="Hipervínculo" xfId="746" builtinId="8" hidden="1"/>
    <cellStyle name="Hipervínculo" xfId="748" builtinId="8" hidden="1"/>
    <cellStyle name="Hipervínculo" xfId="750" builtinId="8" hidden="1"/>
    <cellStyle name="Hipervínculo" xfId="752" builtinId="8" hidden="1"/>
    <cellStyle name="Hipervínculo" xfId="754" builtinId="8" hidden="1"/>
    <cellStyle name="Hipervínculo" xfId="756" builtinId="8" hidden="1"/>
    <cellStyle name="Hipervínculo" xfId="758" builtinId="8" hidden="1"/>
    <cellStyle name="Hipervínculo" xfId="760" builtinId="8" hidden="1"/>
    <cellStyle name="Hipervínculo" xfId="762" builtinId="8" hidden="1"/>
    <cellStyle name="Hipervínculo" xfId="764" builtinId="8" hidden="1"/>
    <cellStyle name="Hipervínculo" xfId="766" builtinId="8" hidden="1"/>
    <cellStyle name="Hipervínculo" xfId="768" builtinId="8" hidden="1"/>
    <cellStyle name="Hipervínculo" xfId="770" builtinId="8" hidden="1"/>
    <cellStyle name="Hipervínculo" xfId="772" builtinId="8" hidden="1"/>
    <cellStyle name="Hipervínculo" xfId="774" builtinId="8" hidden="1"/>
    <cellStyle name="Hipervínculo" xfId="776" builtinId="8" hidden="1"/>
    <cellStyle name="Hipervínculo" xfId="778" builtinId="8" hidden="1"/>
    <cellStyle name="Hipervínculo" xfId="780" builtinId="8" hidden="1"/>
    <cellStyle name="Hipervínculo" xfId="782" builtinId="8" hidden="1"/>
    <cellStyle name="Hipervínculo" xfId="784" builtinId="8" hidden="1"/>
    <cellStyle name="Hipervínculo" xfId="786" builtinId="8" hidden="1"/>
    <cellStyle name="Hipervínculo" xfId="788" builtinId="8" hidden="1"/>
    <cellStyle name="Hipervínculo" xfId="790" builtinId="8" hidden="1"/>
    <cellStyle name="Hipervínculo" xfId="792" builtinId="8" hidden="1"/>
    <cellStyle name="Hipervínculo" xfId="794" builtinId="8" hidden="1"/>
    <cellStyle name="Hipervínculo" xfId="796" builtinId="8" hidden="1"/>
    <cellStyle name="Hipervínculo" xfId="798" builtinId="8" hidden="1"/>
    <cellStyle name="Hipervínculo" xfId="800" builtinId="8" hidden="1"/>
    <cellStyle name="Hipervínculo" xfId="802" builtinId="8" hidden="1"/>
    <cellStyle name="Hipervínculo" xfId="804" builtinId="8" hidden="1"/>
    <cellStyle name="Hipervínculo" xfId="806" builtinId="8" hidden="1"/>
    <cellStyle name="Hipervínculo" xfId="808" builtinId="8" hidden="1"/>
    <cellStyle name="Hipervínculo" xfId="810" builtinId="8" hidden="1"/>
    <cellStyle name="Hipervínculo" xfId="812" builtinId="8" hidden="1"/>
    <cellStyle name="Hipervínculo" xfId="814" builtinId="8" hidden="1"/>
    <cellStyle name="Hipervínculo" xfId="816" builtinId="8" hidden="1"/>
    <cellStyle name="Hipervínculo" xfId="818" builtinId="8" hidden="1"/>
    <cellStyle name="Hipervínculo" xfId="820" builtinId="8" hidden="1"/>
    <cellStyle name="Hipervínculo" xfId="822" builtinId="8" hidden="1"/>
    <cellStyle name="Hipervínculo" xfId="824" builtinId="8" hidden="1"/>
    <cellStyle name="Hipervínculo" xfId="826" builtinId="8" hidden="1"/>
    <cellStyle name="Hipervínculo" xfId="828" builtinId="8" hidden="1"/>
    <cellStyle name="Hipervínculo" xfId="830" builtinId="8" hidden="1"/>
    <cellStyle name="Hipervínculo" xfId="832" builtinId="8" hidden="1"/>
    <cellStyle name="Hipervínculo" xfId="834" builtinId="8" hidden="1"/>
    <cellStyle name="Hipervínculo" xfId="836" builtinId="8" hidden="1"/>
    <cellStyle name="Hipervínculo" xfId="838" builtinId="8" hidden="1"/>
    <cellStyle name="Hipervínculo" xfId="840" builtinId="8" hidden="1"/>
    <cellStyle name="Hipervínculo" xfId="842" builtinId="8" hidden="1"/>
    <cellStyle name="Hipervínculo" xfId="844" builtinId="8" hidden="1"/>
    <cellStyle name="Hipervínculo" xfId="846" builtinId="8" hidden="1"/>
    <cellStyle name="Hipervínculo" xfId="848" builtinId="8" hidden="1"/>
    <cellStyle name="Hipervínculo" xfId="850" builtinId="8" hidden="1"/>
    <cellStyle name="Hipervínculo" xfId="852" builtinId="8" hidden="1"/>
    <cellStyle name="Hipervínculo" xfId="854" builtinId="8" hidden="1"/>
    <cellStyle name="Hipervínculo" xfId="856" builtinId="8" hidden="1"/>
    <cellStyle name="Hipervínculo" xfId="858" builtinId="8" hidden="1"/>
    <cellStyle name="Hipervínculo" xfId="860" builtinId="8" hidden="1"/>
    <cellStyle name="Hipervínculo" xfId="862" builtinId="8" hidden="1"/>
    <cellStyle name="Hipervínculo" xfId="864" builtinId="8" hidden="1"/>
    <cellStyle name="Hipervínculo" xfId="866" builtinId="8" hidden="1"/>
    <cellStyle name="Hipervínculo" xfId="868" builtinId="8" hidden="1"/>
    <cellStyle name="Hipervínculo" xfId="870" builtinId="8" hidden="1"/>
    <cellStyle name="Hipervínculo" xfId="872" builtinId="8" hidden="1"/>
    <cellStyle name="Hipervínculo" xfId="874" builtinId="8" hidden="1"/>
    <cellStyle name="Hipervínculo" xfId="876" builtinId="8" hidden="1"/>
    <cellStyle name="Hipervínculo" xfId="878" builtinId="8" hidden="1"/>
    <cellStyle name="Hipervínculo" xfId="880" builtinId="8" hidden="1"/>
    <cellStyle name="Hipervínculo" xfId="882" builtinId="8" hidden="1"/>
    <cellStyle name="Hipervínculo" xfId="884" builtinId="8" hidden="1"/>
    <cellStyle name="Hipervínculo" xfId="886" builtinId="8" hidden="1"/>
    <cellStyle name="Hipervínculo" xfId="888" builtinId="8" hidden="1"/>
    <cellStyle name="Hipervínculo" xfId="890" builtinId="8" hidden="1"/>
    <cellStyle name="Hipervínculo" xfId="892" builtinId="8" hidden="1"/>
    <cellStyle name="Hipervínculo" xfId="894" builtinId="8" hidden="1"/>
    <cellStyle name="Hipervínculo" xfId="896" builtinId="8" hidden="1"/>
    <cellStyle name="Hipervínculo" xfId="898" builtinId="8" hidden="1"/>
    <cellStyle name="Hipervínculo" xfId="900" builtinId="8" hidden="1"/>
    <cellStyle name="Hipervínculo" xfId="902" builtinId="8" hidden="1"/>
    <cellStyle name="Hipervínculo" xfId="904" builtinId="8" hidden="1"/>
    <cellStyle name="Hipervínculo" xfId="906" builtinId="8" hidden="1"/>
    <cellStyle name="Hipervínculo" xfId="908" builtinId="8" hidden="1"/>
    <cellStyle name="Hipervínculo" xfId="910" builtinId="8" hidden="1"/>
    <cellStyle name="Hipervínculo" xfId="912" builtinId="8" hidden="1"/>
    <cellStyle name="Hipervínculo" xfId="914" builtinId="8" hidden="1"/>
    <cellStyle name="Hipervínculo" xfId="916" builtinId="8" hidden="1"/>
    <cellStyle name="Hipervínculo" xfId="918" builtinId="8" hidden="1"/>
    <cellStyle name="Hipervínculo" xfId="920" builtinId="8" hidden="1"/>
    <cellStyle name="Hipervínculo" xfId="922" builtinId="8" hidden="1"/>
    <cellStyle name="Hipervínculo" xfId="924" builtinId="8" hidden="1"/>
    <cellStyle name="Hipervínculo" xfId="926" builtinId="8" hidden="1"/>
    <cellStyle name="Hipervínculo" xfId="928" builtinId="8" hidden="1"/>
    <cellStyle name="Hipervínculo" xfId="930" builtinId="8" hidden="1"/>
    <cellStyle name="Hipervínculo" xfId="932" builtinId="8" hidden="1"/>
    <cellStyle name="Hipervínculo" xfId="934" builtinId="8" hidden="1"/>
    <cellStyle name="Hipervínculo" xfId="936" builtinId="8" hidden="1"/>
    <cellStyle name="Hipervínculo" xfId="938" builtinId="8" hidden="1"/>
    <cellStyle name="Hipervínculo" xfId="940" builtinId="8" hidden="1"/>
    <cellStyle name="Hipervínculo" xfId="942" builtinId="8" hidden="1"/>
    <cellStyle name="Hipervínculo" xfId="944" builtinId="8" hidden="1"/>
    <cellStyle name="Hipervínculo" xfId="946" builtinId="8" hidden="1"/>
    <cellStyle name="Hipervínculo" xfId="948" builtinId="8" hidden="1"/>
    <cellStyle name="Hipervínculo" xfId="950" builtinId="8" hidden="1"/>
    <cellStyle name="Hipervínculo" xfId="952" builtinId="8" hidden="1"/>
    <cellStyle name="Hipervínculo" xfId="954" builtinId="8" hidden="1"/>
    <cellStyle name="Hipervínculo" xfId="956" builtinId="8" hidden="1"/>
    <cellStyle name="Hipervínculo" xfId="958" builtinId="8" hidden="1"/>
    <cellStyle name="Hipervínculo" xfId="960" builtinId="8" hidden="1"/>
    <cellStyle name="Hipervínculo" xfId="962" builtinId="8" hidden="1"/>
    <cellStyle name="Hipervínculo" xfId="964" builtinId="8" hidden="1"/>
    <cellStyle name="Hipervínculo" xfId="966" builtinId="8" hidden="1"/>
    <cellStyle name="Hipervínculo" xfId="968" builtinId="8" hidden="1"/>
    <cellStyle name="Hipervínculo" xfId="970" builtinId="8" hidden="1"/>
    <cellStyle name="Hipervínculo" xfId="972" builtinId="8" hidden="1"/>
    <cellStyle name="Hipervínculo" xfId="974" builtinId="8" hidden="1"/>
    <cellStyle name="Hipervínculo" xfId="976" builtinId="8" hidden="1"/>
    <cellStyle name="Hipervínculo" xfId="978" builtinId="8" hidden="1"/>
    <cellStyle name="Hipervínculo" xfId="980" builtinId="8" hidden="1"/>
    <cellStyle name="Hipervínculo" xfId="982" builtinId="8" hidden="1"/>
    <cellStyle name="Hipervínculo" xfId="984" builtinId="8" hidden="1"/>
    <cellStyle name="Hipervínculo" xfId="986" builtinId="8" hidden="1"/>
    <cellStyle name="Hipervínculo" xfId="988" builtinId="8" hidden="1"/>
    <cellStyle name="Hipervínculo" xfId="990" builtinId="8" hidden="1"/>
    <cellStyle name="Hipervínculo" xfId="992" builtinId="8" hidden="1"/>
    <cellStyle name="Hipervínculo" xfId="994" builtinId="8" hidden="1"/>
    <cellStyle name="Hipervínculo" xfId="996" builtinId="8" hidden="1"/>
    <cellStyle name="Hipervínculo" xfId="998" builtinId="8" hidden="1"/>
    <cellStyle name="Hipervínculo" xfId="1000" builtinId="8" hidden="1"/>
    <cellStyle name="Hipervínculo" xfId="1002" builtinId="8" hidden="1"/>
    <cellStyle name="Hipervínculo" xfId="1004" builtinId="8" hidden="1"/>
    <cellStyle name="Hipervínculo" xfId="1006" builtinId="8" hidden="1"/>
    <cellStyle name="Hipervínculo" xfId="1008" builtinId="8" hidden="1"/>
    <cellStyle name="Hipervínculo" xfId="1010" builtinId="8" hidden="1"/>
    <cellStyle name="Hipervínculo" xfId="1012" builtinId="8" hidden="1"/>
    <cellStyle name="Hipervínculo" xfId="1014" builtinId="8" hidden="1"/>
    <cellStyle name="Hipervínculo" xfId="1016" builtinId="8" hidden="1"/>
    <cellStyle name="Hipervínculo" xfId="1018" builtinId="8" hidden="1"/>
    <cellStyle name="Hipervínculo" xfId="1020" builtinId="8" hidden="1"/>
    <cellStyle name="Hipervínculo" xfId="1022" builtinId="8" hidden="1"/>
    <cellStyle name="Hipervínculo" xfId="1024" builtinId="8" hidden="1"/>
    <cellStyle name="Hipervínculo" xfId="1026" builtinId="8" hidden="1"/>
    <cellStyle name="Hipervínculo" xfId="1028" builtinId="8" hidden="1"/>
    <cellStyle name="Hipervínculo" xfId="1030" builtinId="8" hidden="1"/>
    <cellStyle name="Hipervínculo" xfId="1032" builtinId="8" hidden="1"/>
    <cellStyle name="Hipervínculo" xfId="1034" builtinId="8" hidden="1"/>
    <cellStyle name="Hipervínculo" xfId="1036" builtinId="8" hidden="1"/>
    <cellStyle name="Hipervínculo" xfId="1038" builtinId="8" hidden="1"/>
    <cellStyle name="Hipervínculo" xfId="1040" builtinId="8" hidden="1"/>
    <cellStyle name="Hipervínculo" xfId="1042" builtinId="8" hidden="1"/>
    <cellStyle name="Hipervínculo" xfId="1044" builtinId="8" hidden="1"/>
    <cellStyle name="Hipervínculo" xfId="1046" builtinId="8" hidden="1"/>
    <cellStyle name="Hipervínculo" xfId="1048" builtinId="8" hidden="1"/>
    <cellStyle name="Hipervínculo" xfId="1050" builtinId="8" hidden="1"/>
    <cellStyle name="Hipervínculo" xfId="1052" builtinId="8" hidden="1"/>
    <cellStyle name="Hipervínculo" xfId="1054" builtinId="8" hidden="1"/>
    <cellStyle name="Hipervínculo" xfId="1056" builtinId="8" hidden="1"/>
    <cellStyle name="Hipervínculo" xfId="1058" builtinId="8" hidden="1"/>
    <cellStyle name="Hipervínculo" xfId="1060" builtinId="8" hidden="1"/>
    <cellStyle name="Hipervínculo" xfId="1062" builtinId="8" hidden="1"/>
    <cellStyle name="Hipervínculo" xfId="1064" builtinId="8" hidden="1"/>
    <cellStyle name="Hipervínculo" xfId="1066" builtinId="8" hidden="1"/>
    <cellStyle name="Hipervínculo" xfId="1068" builtinId="8" hidden="1"/>
    <cellStyle name="Hipervínculo" xfId="1070" builtinId="8" hidden="1"/>
    <cellStyle name="Hipervínculo" xfId="1072" builtinId="8" hidden="1"/>
    <cellStyle name="Hipervínculo" xfId="1074" builtinId="8" hidden="1"/>
    <cellStyle name="Hipervínculo" xfId="1076" builtinId="8" hidden="1"/>
    <cellStyle name="Hipervínculo" xfId="1078" builtinId="8" hidden="1"/>
    <cellStyle name="Hipervínculo" xfId="1080" builtinId="8" hidden="1"/>
    <cellStyle name="Hipervínculo" xfId="1082" builtinId="8" hidden="1"/>
    <cellStyle name="Hipervínculo" xfId="1084" builtinId="8" hidden="1"/>
    <cellStyle name="Hipervínculo" xfId="1086" builtinId="8" hidden="1"/>
    <cellStyle name="Hipervínculo" xfId="1088" builtinId="8" hidden="1"/>
    <cellStyle name="Hipervínculo" xfId="1090" builtinId="8" hidden="1"/>
    <cellStyle name="Hipervínculo" xfId="1092" builtinId="8" hidden="1"/>
    <cellStyle name="Hipervínculo" xfId="1094" builtinId="8" hidden="1"/>
    <cellStyle name="Hipervínculo" xfId="1096" builtinId="8" hidden="1"/>
    <cellStyle name="Hipervínculo" xfId="1098" builtinId="8" hidden="1"/>
    <cellStyle name="Hipervínculo" xfId="1100" builtinId="8" hidden="1"/>
    <cellStyle name="Hipervínculo" xfId="1102" builtinId="8" hidden="1"/>
    <cellStyle name="Hipervínculo" xfId="1104" builtinId="8" hidden="1"/>
    <cellStyle name="Hipervínculo" xfId="1106" builtinId="8" hidden="1"/>
    <cellStyle name="Hipervínculo" xfId="1108" builtinId="8" hidden="1"/>
    <cellStyle name="Hipervínculo" xfId="1110" builtinId="8" hidden="1"/>
    <cellStyle name="Hipervínculo" xfId="1112" builtinId="8" hidden="1"/>
    <cellStyle name="Hipervínculo" xfId="1114" builtinId="8" hidden="1"/>
    <cellStyle name="Hipervínculo" xfId="1116" builtinId="8" hidden="1"/>
    <cellStyle name="Hipervínculo" xfId="1118" builtinId="8" hidden="1"/>
    <cellStyle name="Hipervínculo" xfId="1120" builtinId="8" hidden="1"/>
    <cellStyle name="Hipervínculo" xfId="1122" builtinId="8" hidden="1"/>
    <cellStyle name="Hipervínculo" xfId="1124" builtinId="8" hidden="1"/>
    <cellStyle name="Hipervínculo" xfId="1126" builtinId="8" hidden="1"/>
    <cellStyle name="Hipervínculo" xfId="1128" builtinId="8" hidden="1"/>
    <cellStyle name="Hipervínculo" xfId="1130" builtinId="8" hidden="1"/>
    <cellStyle name="Hipervínculo" xfId="1132" builtinId="8" hidden="1"/>
    <cellStyle name="Hipervínculo" xfId="1134" builtinId="8" hidden="1"/>
    <cellStyle name="Hipervínculo" xfId="1136" builtinId="8" hidden="1"/>
    <cellStyle name="Hipervínculo" xfId="1138" builtinId="8" hidden="1"/>
    <cellStyle name="Hipervínculo" xfId="1140" builtinId="8" hidden="1"/>
    <cellStyle name="Hipervínculo" xfId="1142" builtinId="8" hidden="1"/>
    <cellStyle name="Hipervínculo" xfId="1144" builtinId="8" hidden="1"/>
    <cellStyle name="Hipervínculo" xfId="1146" builtinId="8" hidden="1"/>
    <cellStyle name="Hipervínculo" xfId="1148" builtinId="8" hidden="1"/>
    <cellStyle name="Hipervínculo" xfId="1150" builtinId="8" hidden="1"/>
    <cellStyle name="Hipervínculo" xfId="1152" builtinId="8" hidden="1"/>
    <cellStyle name="Hipervínculo" xfId="1154" builtinId="8" hidden="1"/>
    <cellStyle name="Hipervínculo" xfId="1156" builtinId="8" hidden="1"/>
    <cellStyle name="Hipervínculo" xfId="1158" builtinId="8" hidden="1"/>
    <cellStyle name="Hipervínculo" xfId="1160" builtinId="8" hidden="1"/>
    <cellStyle name="Hipervínculo" xfId="1162" builtinId="8" hidden="1"/>
    <cellStyle name="Hipervínculo" xfId="1164" builtinId="8" hidden="1"/>
    <cellStyle name="Hipervínculo" xfId="1166" builtinId="8" hidden="1"/>
    <cellStyle name="Hipervínculo" xfId="1168" builtinId="8" hidden="1"/>
    <cellStyle name="Hipervínculo" xfId="1170" builtinId="8" hidden="1"/>
    <cellStyle name="Hipervínculo" xfId="1172" builtinId="8" hidden="1"/>
    <cellStyle name="Hipervínculo" xfId="1174" builtinId="8" hidden="1"/>
    <cellStyle name="Hipervínculo" xfId="1176" builtinId="8" hidden="1"/>
    <cellStyle name="Hipervínculo" xfId="1178" builtinId="8" hidden="1"/>
    <cellStyle name="Hipervínculo" xfId="1180" builtinId="8" hidden="1"/>
    <cellStyle name="Hipervínculo" xfId="1182" builtinId="8" hidden="1"/>
    <cellStyle name="Hipervínculo" xfId="1184" builtinId="8" hidden="1"/>
    <cellStyle name="Hipervínculo" xfId="1186" builtinId="8" hidden="1"/>
    <cellStyle name="Hipervínculo" xfId="1188" builtinId="8" hidden="1"/>
    <cellStyle name="Hipervínculo" xfId="1190" builtinId="8" hidden="1"/>
    <cellStyle name="Hipervínculo" xfId="1192" builtinId="8" hidden="1"/>
    <cellStyle name="Hipervínculo" xfId="1194" builtinId="8" hidden="1"/>
    <cellStyle name="Hipervínculo" xfId="1196" builtinId="8" hidden="1"/>
    <cellStyle name="Hipervínculo" xfId="1198" builtinId="8" hidden="1"/>
    <cellStyle name="Hipervínculo" xfId="1200" builtinId="8" hidden="1"/>
    <cellStyle name="Hipervínculo" xfId="1202" builtinId="8" hidden="1"/>
    <cellStyle name="Hipervínculo" xfId="1204" builtinId="8" hidden="1"/>
    <cellStyle name="Hipervínculo" xfId="1206" builtinId="8" hidden="1"/>
    <cellStyle name="Hipervínculo" xfId="1208" builtinId="8" hidden="1"/>
    <cellStyle name="Hipervínculo" xfId="1210" builtinId="8" hidden="1"/>
    <cellStyle name="Hipervínculo" xfId="1212" builtinId="8" hidden="1"/>
    <cellStyle name="Hipervínculo" xfId="1214" builtinId="8" hidden="1"/>
    <cellStyle name="Hipervínculo" xfId="1216" builtinId="8" hidden="1"/>
    <cellStyle name="Hipervínculo" xfId="1218" builtinId="8" hidden="1"/>
    <cellStyle name="Hipervínculo" xfId="1220" builtinId="8" hidden="1"/>
    <cellStyle name="Hipervínculo" xfId="1222" builtinId="8" hidden="1"/>
    <cellStyle name="Hipervínculo" xfId="1224" builtinId="8" hidden="1"/>
    <cellStyle name="Hipervínculo" xfId="1226" builtinId="8" hidden="1"/>
    <cellStyle name="Hipervínculo" xfId="1228" builtinId="8" hidden="1"/>
    <cellStyle name="Hipervínculo" xfId="1230" builtinId="8" hidden="1"/>
    <cellStyle name="Hipervínculo" xfId="1232" builtinId="8" hidden="1"/>
    <cellStyle name="Hipervínculo" xfId="1234" builtinId="8" hidden="1"/>
    <cellStyle name="Hipervínculo" xfId="1236" builtinId="8" hidden="1"/>
    <cellStyle name="Hipervínculo" xfId="1238" builtinId="8" hidden="1"/>
    <cellStyle name="Hipervínculo" xfId="1240" builtinId="8" hidden="1"/>
    <cellStyle name="Hipervínculo" xfId="1242" builtinId="8" hidden="1"/>
    <cellStyle name="Hipervínculo" xfId="1244" builtinId="8" hidden="1"/>
    <cellStyle name="Hipervínculo" xfId="1246" builtinId="8" hidden="1"/>
    <cellStyle name="Hipervínculo" xfId="1248" builtinId="8" hidden="1"/>
    <cellStyle name="Hipervínculo" xfId="1250" builtinId="8" hidden="1"/>
    <cellStyle name="Hipervínculo" xfId="1252" builtinId="8" hidden="1"/>
    <cellStyle name="Hipervínculo" xfId="1254" builtinId="8" hidden="1"/>
    <cellStyle name="Hipervínculo" xfId="1256" builtinId="8" hidden="1"/>
    <cellStyle name="Hipervínculo" xfId="1258" builtinId="8" hidden="1"/>
    <cellStyle name="Hipervínculo" xfId="1260" builtinId="8" hidden="1"/>
    <cellStyle name="Hipervínculo" xfId="1262" builtinId="8" hidden="1"/>
    <cellStyle name="Hipervínculo" xfId="1264" builtinId="8" hidden="1"/>
    <cellStyle name="Hipervínculo" xfId="1266" builtinId="8" hidden="1"/>
    <cellStyle name="Hipervínculo" xfId="1268" builtinId="8" hidden="1"/>
    <cellStyle name="Hipervínculo" xfId="1270" builtinId="8" hidden="1"/>
    <cellStyle name="Hipervínculo" xfId="1272" builtinId="8" hidden="1"/>
    <cellStyle name="Hipervínculo" xfId="1274" builtinId="8" hidden="1"/>
    <cellStyle name="Hipervínculo" xfId="1276" builtinId="8" hidden="1"/>
    <cellStyle name="Hipervínculo" xfId="1278" builtinId="8" hidden="1"/>
    <cellStyle name="Hipervínculo" xfId="1280" builtinId="8" hidden="1"/>
    <cellStyle name="Hipervínculo" xfId="1282" builtinId="8" hidden="1"/>
    <cellStyle name="Hipervínculo" xfId="1284" builtinId="8" hidden="1"/>
    <cellStyle name="Hipervínculo" xfId="1286" builtinId="8" hidden="1"/>
    <cellStyle name="Hipervínculo" xfId="1288" builtinId="8" hidden="1"/>
    <cellStyle name="Hipervínculo" xfId="1290" builtinId="8" hidden="1"/>
    <cellStyle name="Hipervínculo" xfId="1292" builtinId="8" hidden="1"/>
    <cellStyle name="Hipervínculo" xfId="1294" builtinId="8" hidden="1"/>
    <cellStyle name="Hipervínculo" xfId="1296" builtinId="8" hidden="1"/>
    <cellStyle name="Hipervínculo" xfId="1298" builtinId="8" hidden="1"/>
    <cellStyle name="Hipervínculo" xfId="1300" builtinId="8" hidden="1"/>
    <cellStyle name="Hipervínculo" xfId="1302" builtinId="8" hidden="1"/>
    <cellStyle name="Hipervínculo" xfId="1304" builtinId="8" hidden="1"/>
    <cellStyle name="Hipervínculo" xfId="1306" builtinId="8" hidden="1"/>
    <cellStyle name="Hipervínculo" xfId="1308" builtinId="8" hidden="1"/>
    <cellStyle name="Hipervínculo" xfId="1310" builtinId="8" hidden="1"/>
    <cellStyle name="Hipervínculo" xfId="1312" builtinId="8" hidden="1"/>
    <cellStyle name="Hipervínculo" xfId="1314" builtinId="8" hidden="1"/>
    <cellStyle name="Hipervínculo" xfId="1316" builtinId="8" hidden="1"/>
    <cellStyle name="Hipervínculo" xfId="1318" builtinId="8" hidden="1"/>
    <cellStyle name="Hipervínculo" xfId="1320" builtinId="8" hidden="1"/>
    <cellStyle name="Hipervínculo" xfId="1322" builtinId="8" hidden="1"/>
    <cellStyle name="Hipervínculo" xfId="1324" builtinId="8" hidden="1"/>
    <cellStyle name="Hipervínculo" xfId="1326" builtinId="8" hidden="1"/>
    <cellStyle name="Hipervínculo" xfId="1328" builtinId="8" hidden="1"/>
    <cellStyle name="Hipervínculo" xfId="1330" builtinId="8" hidden="1"/>
    <cellStyle name="Hipervínculo" xfId="1332" builtinId="8" hidden="1"/>
    <cellStyle name="Hipervínculo" xfId="1334" builtinId="8" hidden="1"/>
    <cellStyle name="Hipervínculo" xfId="1336" builtinId="8" hidden="1"/>
    <cellStyle name="Hipervínculo" xfId="1338" builtinId="8" hidden="1"/>
    <cellStyle name="Hipervínculo" xfId="1340" builtinId="8" hidden="1"/>
    <cellStyle name="Hipervínculo" xfId="1342" builtinId="8" hidden="1"/>
    <cellStyle name="Hipervínculo" xfId="1344" builtinId="8" hidden="1"/>
    <cellStyle name="Hipervínculo" xfId="1346" builtinId="8" hidden="1"/>
    <cellStyle name="Hipervínculo" xfId="1348" builtinId="8" hidden="1"/>
    <cellStyle name="Hipervínculo" xfId="1350" builtinId="8" hidden="1"/>
    <cellStyle name="Hipervínculo" xfId="1352" builtinId="8" hidden="1"/>
    <cellStyle name="Hipervínculo" xfId="1354" builtinId="8" hidden="1"/>
    <cellStyle name="Hipervínculo" xfId="1356" builtinId="8" hidden="1"/>
    <cellStyle name="Hipervínculo" xfId="1358" builtinId="8" hidden="1"/>
    <cellStyle name="Hipervínculo" xfId="1360" builtinId="8" hidden="1"/>
    <cellStyle name="Hipervínculo" xfId="1362" builtinId="8" hidden="1"/>
    <cellStyle name="Hipervínculo" xfId="1364" builtinId="8" hidden="1"/>
    <cellStyle name="Hipervínculo" xfId="1366" builtinId="8" hidden="1"/>
    <cellStyle name="Hipervínculo" xfId="1368" builtinId="8" hidden="1"/>
    <cellStyle name="Hipervínculo" xfId="1370" builtinId="8" hidden="1"/>
    <cellStyle name="Hipervínculo" xfId="1372" builtinId="8" hidden="1"/>
    <cellStyle name="Hipervínculo" xfId="1374" builtinId="8" hidden="1"/>
    <cellStyle name="Hipervínculo" xfId="1376" builtinId="8" hidden="1"/>
    <cellStyle name="Hipervínculo" xfId="1378" builtinId="8" hidden="1"/>
    <cellStyle name="Hipervínculo" xfId="1380" builtinId="8" hidden="1"/>
    <cellStyle name="Hipervínculo" xfId="1382" builtinId="8" hidden="1"/>
    <cellStyle name="Hipervínculo" xfId="1384" builtinId="8" hidden="1"/>
    <cellStyle name="Hipervínculo" xfId="1386" builtinId="8" hidden="1"/>
    <cellStyle name="Hipervínculo" xfId="1388" builtinId="8" hidden="1"/>
    <cellStyle name="Hipervínculo" xfId="1390" builtinId="8" hidden="1"/>
    <cellStyle name="Hipervínculo" xfId="1392" builtinId="8" hidden="1"/>
    <cellStyle name="Hipervínculo" xfId="1394" builtinId="8" hidden="1"/>
    <cellStyle name="Hipervínculo" xfId="1396" builtinId="8" hidden="1"/>
    <cellStyle name="Hipervínculo" xfId="1398" builtinId="8" hidden="1"/>
    <cellStyle name="Hipervínculo" xfId="1400" builtinId="8" hidden="1"/>
    <cellStyle name="Hipervínculo" xfId="1402" builtinId="8" hidden="1"/>
    <cellStyle name="Hipervínculo" xfId="1404" builtinId="8" hidden="1"/>
    <cellStyle name="Hipervínculo" xfId="1406" builtinId="8" hidden="1"/>
    <cellStyle name="Hipervínculo" xfId="1408" builtinId="8" hidden="1"/>
    <cellStyle name="Hipervínculo" xfId="1410" builtinId="8" hidden="1"/>
    <cellStyle name="Hipervínculo" xfId="1412" builtinId="8" hidden="1"/>
    <cellStyle name="Hipervínculo" xfId="1414" builtinId="8" hidden="1"/>
    <cellStyle name="Hipervínculo" xfId="1416" builtinId="8" hidden="1"/>
    <cellStyle name="Hipervínculo" xfId="1418" builtinId="8" hidden="1"/>
    <cellStyle name="Hipervínculo" xfId="1420" builtinId="8" hidden="1"/>
    <cellStyle name="Hipervínculo" xfId="1422" builtinId="8" hidden="1"/>
    <cellStyle name="Hipervínculo" xfId="1424" builtinId="8" hidden="1"/>
    <cellStyle name="Hipervínculo" xfId="1426" builtinId="8" hidden="1"/>
    <cellStyle name="Hipervínculo" xfId="1428" builtinId="8" hidden="1"/>
    <cellStyle name="Hipervínculo" xfId="1430" builtinId="8" hidden="1"/>
    <cellStyle name="Hipervínculo" xfId="1432" builtinId="8" hidden="1"/>
    <cellStyle name="Hipervínculo" xfId="1434" builtinId="8" hidden="1"/>
    <cellStyle name="Hipervínculo" xfId="1436" builtinId="8" hidden="1"/>
    <cellStyle name="Hipervínculo" xfId="1438" builtinId="8" hidden="1"/>
    <cellStyle name="Hipervínculo" xfId="1440" builtinId="8" hidden="1"/>
    <cellStyle name="Hipervínculo" xfId="1442" builtinId="8" hidden="1"/>
    <cellStyle name="Hipervínculo" xfId="1444" builtinId="8" hidden="1"/>
    <cellStyle name="Hipervínculo" xfId="1446" builtinId="8" hidden="1"/>
    <cellStyle name="Hipervínculo" xfId="1448" builtinId="8" hidden="1"/>
    <cellStyle name="Hipervínculo" xfId="1450" builtinId="8" hidden="1"/>
    <cellStyle name="Hipervínculo" xfId="1452" builtinId="8" hidden="1"/>
    <cellStyle name="Hipervínculo" xfId="1454" builtinId="8" hidden="1"/>
    <cellStyle name="Hipervínculo" xfId="1456" builtinId="8" hidden="1"/>
    <cellStyle name="Hipervínculo" xfId="1458" builtinId="8" hidden="1"/>
    <cellStyle name="Hipervínculo" xfId="1460" builtinId="8" hidden="1"/>
    <cellStyle name="Hipervínculo" xfId="1462" builtinId="8" hidden="1"/>
    <cellStyle name="Hipervínculo" xfId="1464" builtinId="8" hidden="1"/>
    <cellStyle name="Hipervínculo" xfId="1466" builtinId="8" hidden="1"/>
    <cellStyle name="Hipervínculo" xfId="1468" builtinId="8" hidden="1"/>
    <cellStyle name="Hipervínculo" xfId="1470" builtinId="8" hidden="1"/>
    <cellStyle name="Hipervínculo" xfId="1472" builtinId="8" hidden="1"/>
    <cellStyle name="Hipervínculo" xfId="1474" builtinId="8" hidden="1"/>
    <cellStyle name="Hipervínculo" xfId="1476" builtinId="8" hidden="1"/>
    <cellStyle name="Hipervínculo" xfId="1478" builtinId="8" hidden="1"/>
    <cellStyle name="Hipervínculo" xfId="1480" builtinId="8" hidden="1"/>
    <cellStyle name="Hipervínculo" xfId="1482" builtinId="8" hidden="1"/>
    <cellStyle name="Hipervínculo" xfId="1484" builtinId="8" hidden="1"/>
    <cellStyle name="Hipervínculo" xfId="1486" builtinId="8" hidden="1"/>
    <cellStyle name="Hipervínculo" xfId="1488" builtinId="8" hidden="1"/>
    <cellStyle name="Hipervínculo" xfId="1490" builtinId="8" hidden="1"/>
    <cellStyle name="Hipervínculo" xfId="1492" builtinId="8" hidden="1"/>
    <cellStyle name="Hipervínculo" xfId="1494" builtinId="8" hidden="1"/>
    <cellStyle name="Hipervínculo" xfId="1496" builtinId="8" hidden="1"/>
    <cellStyle name="Hipervínculo" xfId="1498" builtinId="8" hidden="1"/>
    <cellStyle name="Hipervínculo" xfId="1500" builtinId="8" hidden="1"/>
    <cellStyle name="Hipervínculo" xfId="1502" builtinId="8" hidden="1"/>
    <cellStyle name="Hipervínculo" xfId="1504" builtinId="8" hidden="1"/>
    <cellStyle name="Hipervínculo" xfId="1506" builtinId="8" hidden="1"/>
    <cellStyle name="Hipervínculo" xfId="1508" builtinId="8" hidden="1"/>
    <cellStyle name="Hipervínculo" xfId="1510" builtinId="8" hidden="1"/>
    <cellStyle name="Hipervínculo" xfId="1512" builtinId="8" hidden="1"/>
    <cellStyle name="Hipervínculo" xfId="1514" builtinId="8" hidden="1"/>
    <cellStyle name="Hipervínculo" xfId="1516" builtinId="8" hidden="1"/>
    <cellStyle name="Hipervínculo" xfId="1518" builtinId="8" hidden="1"/>
    <cellStyle name="Hipervínculo" xfId="1520" builtinId="8" hidden="1"/>
    <cellStyle name="Hipervínculo" xfId="1522" builtinId="8" hidden="1"/>
    <cellStyle name="Hipervínculo" xfId="1524" builtinId="8" hidden="1"/>
    <cellStyle name="Hipervínculo" xfId="1526" builtinId="8" hidden="1"/>
    <cellStyle name="Hipervínculo" xfId="1528" builtinId="8" hidden="1"/>
    <cellStyle name="Hipervínculo" xfId="1530" builtinId="8" hidden="1"/>
    <cellStyle name="Hipervínculo" xfId="1532" builtinId="8" hidden="1"/>
    <cellStyle name="Hipervínculo" xfId="1534" builtinId="8" hidden="1"/>
    <cellStyle name="Hipervínculo" xfId="1536" builtinId="8" hidden="1"/>
    <cellStyle name="Hipervínculo" xfId="1538" builtinId="8" hidden="1"/>
    <cellStyle name="Hipervínculo" xfId="1540" builtinId="8" hidden="1"/>
    <cellStyle name="Hipervínculo" xfId="1542" builtinId="8" hidden="1"/>
    <cellStyle name="Hipervínculo" xfId="1544" builtinId="8" hidden="1"/>
    <cellStyle name="Hipervínculo" xfId="1546" builtinId="8" hidden="1"/>
    <cellStyle name="Hipervínculo" xfId="1548" builtinId="8" hidden="1"/>
    <cellStyle name="Hipervínculo" xfId="1550" builtinId="8" hidden="1"/>
    <cellStyle name="Hipervínculo" xfId="1552" builtinId="8" hidden="1"/>
    <cellStyle name="Hipervínculo" xfId="1554" builtinId="8" hidden="1"/>
    <cellStyle name="Hipervínculo" xfId="1556" builtinId="8" hidden="1"/>
    <cellStyle name="Hipervínculo" xfId="1558" builtinId="8" hidden="1"/>
    <cellStyle name="Hipervínculo" xfId="1560" builtinId="8" hidden="1"/>
    <cellStyle name="Hipervínculo" xfId="1562" builtinId="8" hidden="1"/>
    <cellStyle name="Hipervínculo" xfId="1564" builtinId="8" hidden="1"/>
    <cellStyle name="Hipervínculo" xfId="1566" builtinId="8" hidden="1"/>
    <cellStyle name="Hipervínculo" xfId="1568" builtinId="8" hidden="1"/>
    <cellStyle name="Hipervínculo" xfId="1570" builtinId="8" hidden="1"/>
    <cellStyle name="Hipervínculo" xfId="1572" builtinId="8" hidden="1"/>
    <cellStyle name="Hipervínculo" xfId="1574" builtinId="8" hidden="1"/>
    <cellStyle name="Hipervínculo" xfId="1576" builtinId="8" hidden="1"/>
    <cellStyle name="Hipervínculo" xfId="1578" builtinId="8" hidden="1"/>
    <cellStyle name="Hipervínculo" xfId="1580" builtinId="8" hidden="1"/>
    <cellStyle name="Hipervínculo" xfId="1582" builtinId="8" hidden="1"/>
    <cellStyle name="Hipervínculo" xfId="1584" builtinId="8" hidden="1"/>
    <cellStyle name="Hipervínculo" xfId="1586" builtinId="8" hidden="1"/>
    <cellStyle name="Hipervínculo" xfId="1588" builtinId="8" hidden="1"/>
    <cellStyle name="Hipervínculo" xfId="1590" builtinId="8" hidden="1"/>
    <cellStyle name="Hipervínculo" xfId="1592" builtinId="8" hidden="1"/>
    <cellStyle name="Hipervínculo" xfId="1594" builtinId="8" hidden="1"/>
    <cellStyle name="Hipervínculo" xfId="1596" builtinId="8" hidden="1"/>
    <cellStyle name="Hipervínculo" xfId="1598" builtinId="8" hidden="1"/>
    <cellStyle name="Hipervínculo" xfId="1600" builtinId="8" hidden="1"/>
    <cellStyle name="Hipervínculo" xfId="1602" builtinId="8" hidden="1"/>
    <cellStyle name="Hipervínculo" xfId="1604" builtinId="8" hidden="1"/>
    <cellStyle name="Hipervínculo" xfId="1606" builtinId="8" hidden="1"/>
    <cellStyle name="Hipervínculo" xfId="1608" builtinId="8" hidden="1"/>
    <cellStyle name="Hipervínculo" xfId="1610" builtinId="8" hidden="1"/>
    <cellStyle name="Hipervínculo" xfId="1612" builtinId="8" hidden="1"/>
    <cellStyle name="Hipervínculo" xfId="1614" builtinId="8" hidden="1"/>
    <cellStyle name="Hipervínculo" xfId="1616" builtinId="8" hidden="1"/>
    <cellStyle name="Hipervínculo" xfId="1618" builtinId="8" hidden="1"/>
    <cellStyle name="Hipervínculo" xfId="1620" builtinId="8" hidden="1"/>
    <cellStyle name="Hipervínculo" xfId="1622" builtinId="8" hidden="1"/>
    <cellStyle name="Hipervínculo" xfId="1624" builtinId="8" hidden="1"/>
    <cellStyle name="Hipervínculo" xfId="1626" builtinId="8" hidden="1"/>
    <cellStyle name="Hipervínculo" xfId="1628" builtinId="8" hidden="1"/>
    <cellStyle name="Hipervínculo" xfId="1630" builtinId="8" hidden="1"/>
    <cellStyle name="Hipervínculo" xfId="1632" builtinId="8" hidden="1"/>
    <cellStyle name="Hipervínculo" xfId="1634" builtinId="8" hidden="1"/>
    <cellStyle name="Hipervínculo" xfId="1636" builtinId="8" hidden="1"/>
    <cellStyle name="Hipervínculo" xfId="1638" builtinId="8" hidden="1"/>
    <cellStyle name="Hipervínculo" xfId="1640" builtinId="8" hidden="1"/>
    <cellStyle name="Hipervínculo" xfId="1642" builtinId="8" hidden="1"/>
    <cellStyle name="Hipervínculo" xfId="1644" builtinId="8" hidden="1"/>
    <cellStyle name="Hipervínculo" xfId="1646" builtinId="8" hidden="1"/>
    <cellStyle name="Hipervínculo" xfId="1648" builtinId="8" hidden="1"/>
    <cellStyle name="Hipervínculo" xfId="1650" builtinId="8" hidden="1"/>
    <cellStyle name="Hipervínculo" xfId="1652" builtinId="8" hidden="1"/>
    <cellStyle name="Hipervínculo" xfId="1654" builtinId="8" hidden="1"/>
    <cellStyle name="Hipervínculo" xfId="1656" builtinId="8" hidden="1"/>
    <cellStyle name="Hipervínculo" xfId="1658" builtinId="8" hidden="1"/>
    <cellStyle name="Hipervínculo" xfId="1660" builtinId="8" hidden="1"/>
    <cellStyle name="Hipervínculo" xfId="1662" builtinId="8" hidden="1"/>
    <cellStyle name="Hipervínculo" xfId="1664" builtinId="8" hidden="1"/>
    <cellStyle name="Hipervínculo" xfId="1666" builtinId="8" hidden="1"/>
    <cellStyle name="Hipervínculo" xfId="1668" builtinId="8" hidden="1"/>
    <cellStyle name="Hipervínculo" xfId="1670" builtinId="8" hidden="1"/>
    <cellStyle name="Hipervínculo" xfId="1672" builtinId="8" hidden="1"/>
    <cellStyle name="Hipervínculo" xfId="1674" builtinId="8" hidden="1"/>
    <cellStyle name="Hipervínculo" xfId="1676" builtinId="8" hidden="1"/>
    <cellStyle name="Hipervínculo" xfId="1678" builtinId="8" hidden="1"/>
    <cellStyle name="Hipervínculo" xfId="1680" builtinId="8" hidden="1"/>
    <cellStyle name="Hipervínculo" xfId="1682" builtinId="8" hidden="1"/>
    <cellStyle name="Hipervínculo" xfId="1684" builtinId="8" hidden="1"/>
    <cellStyle name="Hipervínculo" xfId="1686" builtinId="8" hidden="1"/>
    <cellStyle name="Hipervínculo" xfId="1688" builtinId="8" hidden="1"/>
    <cellStyle name="Hipervínculo" xfId="1690" builtinId="8" hidden="1"/>
    <cellStyle name="Hipervínculo" xfId="1692" builtinId="8" hidden="1"/>
    <cellStyle name="Hipervínculo" xfId="1694" builtinId="8" hidden="1"/>
    <cellStyle name="Hipervínculo" xfId="1696" builtinId="8" hidden="1"/>
    <cellStyle name="Hipervínculo" xfId="1698" builtinId="8" hidden="1"/>
    <cellStyle name="Hipervínculo" xfId="1700" builtinId="8" hidden="1"/>
    <cellStyle name="Hipervínculo" xfId="1702" builtinId="8" hidden="1"/>
    <cellStyle name="Hipervínculo" xfId="1704" builtinId="8" hidden="1"/>
    <cellStyle name="Hipervínculo" xfId="1706" builtinId="8" hidden="1"/>
    <cellStyle name="Hipervínculo" xfId="1708" builtinId="8" hidden="1"/>
    <cellStyle name="Hipervínculo" xfId="1710" builtinId="8" hidden="1"/>
    <cellStyle name="Hipervínculo" xfId="1712" builtinId="8" hidden="1"/>
    <cellStyle name="Hipervínculo" xfId="1714" builtinId="8" hidden="1"/>
    <cellStyle name="Hipervínculo" xfId="1716" builtinId="8" hidden="1"/>
    <cellStyle name="Hipervínculo" xfId="1718" builtinId="8" hidden="1"/>
    <cellStyle name="Hipervínculo" xfId="1720" builtinId="8" hidden="1"/>
    <cellStyle name="Hipervínculo" xfId="1722" builtinId="8" hidden="1"/>
    <cellStyle name="Hipervínculo" xfId="1724" builtinId="8" hidden="1"/>
    <cellStyle name="Hipervínculo" xfId="1726" builtinId="8" hidden="1"/>
    <cellStyle name="Hipervínculo" xfId="1728" builtinId="8" hidden="1"/>
    <cellStyle name="Hipervínculo" xfId="1730" builtinId="8" hidden="1"/>
    <cellStyle name="Hipervínculo" xfId="1732" builtinId="8" hidden="1"/>
    <cellStyle name="Hipervínculo" xfId="1734" builtinId="8" hidden="1"/>
    <cellStyle name="Hipervínculo" xfId="1736" builtinId="8" hidden="1"/>
    <cellStyle name="Hipervínculo" xfId="1738" builtinId="8" hidden="1"/>
    <cellStyle name="Hipervínculo" xfId="1740" builtinId="8" hidden="1"/>
    <cellStyle name="Hipervínculo" xfId="1742" builtinId="8" hidden="1"/>
    <cellStyle name="Hipervínculo" xfId="1744" builtinId="8" hidden="1"/>
    <cellStyle name="Hipervínculo" xfId="1746" builtinId="8" hidden="1"/>
    <cellStyle name="Hipervínculo" xfId="1748" builtinId="8" hidden="1"/>
    <cellStyle name="Hipervínculo" xfId="1750" builtinId="8" hidden="1"/>
    <cellStyle name="Hipervínculo" xfId="1752" builtinId="8" hidden="1"/>
    <cellStyle name="Hipervínculo" xfId="1754" builtinId="8" hidden="1"/>
    <cellStyle name="Hipervínculo" xfId="1756" builtinId="8" hidden="1"/>
    <cellStyle name="Hipervínculo" xfId="1758" builtinId="8" hidden="1"/>
    <cellStyle name="Hipervínculo" xfId="1760" builtinId="8" hidden="1"/>
    <cellStyle name="Hipervínculo" xfId="1762" builtinId="8" hidden="1"/>
    <cellStyle name="Hipervínculo" xfId="1764" builtinId="8" hidden="1"/>
    <cellStyle name="Hipervínculo" xfId="1766" builtinId="8" hidden="1"/>
    <cellStyle name="Hipervínculo" xfId="1768" builtinId="8" hidden="1"/>
    <cellStyle name="Hipervínculo" xfId="1770" builtinId="8" hidden="1"/>
    <cellStyle name="Hipervínculo" xfId="1772" builtinId="8" hidden="1"/>
    <cellStyle name="Hipervínculo" xfId="1774" builtinId="8" hidden="1"/>
    <cellStyle name="Hipervínculo" xfId="1776" builtinId="8" hidden="1"/>
    <cellStyle name="Hipervínculo" xfId="1778" builtinId="8" hidden="1"/>
    <cellStyle name="Hipervínculo" xfId="1780" builtinId="8" hidden="1"/>
    <cellStyle name="Hipervínculo" xfId="1782" builtinId="8" hidden="1"/>
    <cellStyle name="Hipervínculo" xfId="1784" builtinId="8" hidden="1"/>
    <cellStyle name="Hipervínculo" xfId="1786" builtinId="8" hidden="1"/>
    <cellStyle name="Hipervínculo" xfId="1788" builtinId="8" hidden="1"/>
    <cellStyle name="Hipervínculo" xfId="1790" builtinId="8" hidden="1"/>
    <cellStyle name="Hipervínculo" xfId="1792" builtinId="8" hidden="1"/>
    <cellStyle name="Hipervínculo" xfId="1794" builtinId="8" hidden="1"/>
    <cellStyle name="Hipervínculo" xfId="1796" builtinId="8" hidden="1"/>
    <cellStyle name="Hipervínculo" xfId="1798" builtinId="8" hidden="1"/>
    <cellStyle name="Hipervínculo" xfId="1800" builtinId="8" hidden="1"/>
    <cellStyle name="Hipervínculo" xfId="1802" builtinId="8" hidden="1"/>
    <cellStyle name="Hipervínculo" xfId="1804" builtinId="8" hidden="1"/>
    <cellStyle name="Hipervínculo" xfId="1806" builtinId="8" hidden="1"/>
    <cellStyle name="Hipervínculo" xfId="1808" builtinId="8" hidden="1"/>
    <cellStyle name="Hipervínculo" xfId="1810" builtinId="8" hidden="1"/>
    <cellStyle name="Hipervínculo" xfId="1812" builtinId="8" hidden="1"/>
    <cellStyle name="Hipervínculo" xfId="1814" builtinId="8" hidden="1"/>
    <cellStyle name="Hipervínculo" xfId="1816" builtinId="8" hidden="1"/>
    <cellStyle name="Hipervínculo" xfId="1818" builtinId="8" hidden="1"/>
    <cellStyle name="Hipervínculo" xfId="1820" builtinId="8" hidden="1"/>
    <cellStyle name="Hipervínculo" xfId="1822" builtinId="8" hidden="1"/>
    <cellStyle name="Hipervínculo" xfId="1824" builtinId="8" hidden="1"/>
    <cellStyle name="Hipervínculo" xfId="1826" builtinId="8" hidden="1"/>
    <cellStyle name="Hipervínculo" xfId="1828" builtinId="8" hidden="1"/>
    <cellStyle name="Hipervínculo" xfId="1830" builtinId="8" hidden="1"/>
    <cellStyle name="Hipervínculo" xfId="1832" builtinId="8" hidden="1"/>
    <cellStyle name="Hipervínculo" xfId="1834" builtinId="8" hidden="1"/>
    <cellStyle name="Hipervínculo" xfId="1836" builtinId="8" hidden="1"/>
    <cellStyle name="Hipervínculo" xfId="1838" builtinId="8" hidden="1"/>
    <cellStyle name="Hipervínculo" xfId="1840" builtinId="8" hidden="1"/>
    <cellStyle name="Hipervínculo" xfId="1842" builtinId="8" hidden="1"/>
    <cellStyle name="Hipervínculo" xfId="1844" builtinId="8" hidden="1"/>
    <cellStyle name="Hipervínculo" xfId="1846" builtinId="8" hidden="1"/>
    <cellStyle name="Hipervínculo" xfId="1848" builtinId="8" hidden="1"/>
    <cellStyle name="Hipervínculo" xfId="1850" builtinId="8" hidden="1"/>
    <cellStyle name="Hipervínculo" xfId="1852" builtinId="8" hidden="1"/>
    <cellStyle name="Hipervínculo" xfId="1854" builtinId="8" hidden="1"/>
    <cellStyle name="Hipervínculo" xfId="1856" builtinId="8" hidden="1"/>
    <cellStyle name="Hipervínculo" xfId="1858" builtinId="8" hidden="1"/>
    <cellStyle name="Hipervínculo" xfId="1860" builtinId="8" hidden="1"/>
    <cellStyle name="Hipervínculo" xfId="1862" builtinId="8" hidden="1"/>
    <cellStyle name="Hipervínculo" xfId="1864" builtinId="8" hidden="1"/>
    <cellStyle name="Hipervínculo" xfId="1866" builtinId="8" hidden="1"/>
    <cellStyle name="Hipervínculo" xfId="1868" builtinId="8" hidden="1"/>
    <cellStyle name="Hipervínculo" xfId="1870" builtinId="8" hidden="1"/>
    <cellStyle name="Hipervínculo" xfId="1872" builtinId="8" hidden="1"/>
    <cellStyle name="Hipervínculo" xfId="1874" builtinId="8" hidden="1"/>
    <cellStyle name="Hipervínculo" xfId="1876" builtinId="8" hidden="1"/>
    <cellStyle name="Hipervínculo" xfId="1878" builtinId="8" hidden="1"/>
    <cellStyle name="Hipervínculo" xfId="1880" builtinId="8" hidden="1"/>
    <cellStyle name="Hipervínculo" xfId="1882" builtinId="8" hidden="1"/>
    <cellStyle name="Hipervínculo" xfId="1884" builtinId="8" hidden="1"/>
    <cellStyle name="Hipervínculo" xfId="1886" builtinId="8" hidden="1"/>
    <cellStyle name="Hipervínculo" xfId="1888" builtinId="8" hidden="1"/>
    <cellStyle name="Hipervínculo" xfId="1890" builtinId="8" hidden="1"/>
    <cellStyle name="Hipervínculo" xfId="1892" builtinId="8" hidden="1"/>
    <cellStyle name="Hipervínculo" xfId="1894" builtinId="8" hidden="1"/>
    <cellStyle name="Hipervínculo" xfId="1896" builtinId="8" hidden="1"/>
    <cellStyle name="Hipervínculo" xfId="1898" builtinId="8" hidden="1"/>
    <cellStyle name="Hipervínculo" xfId="1900" builtinId="8" hidden="1"/>
    <cellStyle name="Hipervínculo" xfId="1902" builtinId="8" hidden="1"/>
    <cellStyle name="Hipervínculo" xfId="1904" builtinId="8" hidden="1"/>
    <cellStyle name="Hipervínculo" xfId="1906" builtinId="8" hidden="1"/>
    <cellStyle name="Hipervínculo" xfId="1908" builtinId="8" hidden="1"/>
    <cellStyle name="Hipervínculo" xfId="1910" builtinId="8" hidden="1"/>
    <cellStyle name="Hipervínculo" xfId="1912" builtinId="8" hidden="1"/>
    <cellStyle name="Hipervínculo" xfId="1914" builtinId="8" hidden="1"/>
    <cellStyle name="Hipervínculo" xfId="1916" builtinId="8" hidden="1"/>
    <cellStyle name="Hipervínculo" xfId="1918" builtinId="8" hidden="1"/>
    <cellStyle name="Hipervínculo" xfId="1920" builtinId="8" hidden="1"/>
    <cellStyle name="Hipervínculo" xfId="1922" builtinId="8" hidden="1"/>
    <cellStyle name="Hipervínculo" xfId="1924" builtinId="8" hidden="1"/>
    <cellStyle name="Hipervínculo" xfId="1926" builtinId="8" hidden="1"/>
    <cellStyle name="Hipervínculo" xfId="1928" builtinId="8" hidden="1"/>
    <cellStyle name="Hipervínculo" xfId="1930" builtinId="8" hidden="1"/>
    <cellStyle name="Hipervínculo" xfId="1932" builtinId="8" hidden="1"/>
    <cellStyle name="Hipervínculo" xfId="1934" builtinId="8" hidden="1"/>
    <cellStyle name="Hipervínculo" xfId="1936" builtinId="8" hidden="1"/>
    <cellStyle name="Hipervínculo" xfId="1938" builtinId="8" hidden="1"/>
    <cellStyle name="Hipervínculo" xfId="1940" builtinId="8" hidden="1"/>
    <cellStyle name="Hipervínculo" xfId="1942" builtinId="8" hidden="1"/>
    <cellStyle name="Hipervínculo" xfId="1944" builtinId="8" hidden="1"/>
    <cellStyle name="Hipervínculo" xfId="1946" builtinId="8" hidden="1"/>
    <cellStyle name="Hipervínculo" xfId="1948" builtinId="8" hidden="1"/>
    <cellStyle name="Hipervínculo" xfId="1950" builtinId="8" hidden="1"/>
    <cellStyle name="Hipervínculo" xfId="1952" builtinId="8" hidden="1"/>
    <cellStyle name="Hipervínculo" xfId="1954" builtinId="8" hidden="1"/>
    <cellStyle name="Hipervínculo" xfId="1956" builtinId="8" hidden="1"/>
    <cellStyle name="Hipervínculo" xfId="1958" builtinId="8" hidden="1"/>
    <cellStyle name="Hipervínculo" xfId="1960" builtinId="8" hidden="1"/>
    <cellStyle name="Hipervínculo" xfId="1962" builtinId="8" hidden="1"/>
    <cellStyle name="Hipervínculo" xfId="1964" builtinId="8" hidden="1"/>
    <cellStyle name="Hipervínculo" xfId="1966" builtinId="8" hidden="1"/>
    <cellStyle name="Hipervínculo" xfId="1968" builtinId="8" hidden="1"/>
    <cellStyle name="Hipervínculo" xfId="1970" builtinId="8" hidden="1"/>
    <cellStyle name="Hipervínculo" xfId="1972" builtinId="8" hidden="1"/>
    <cellStyle name="Hipervínculo" xfId="1974" builtinId="8" hidden="1"/>
    <cellStyle name="Hipervínculo" xfId="1976" builtinId="8" hidden="1"/>
    <cellStyle name="Hipervínculo" xfId="1978" builtinId="8" hidden="1"/>
    <cellStyle name="Hipervínculo" xfId="1980" builtinId="8" hidden="1"/>
    <cellStyle name="Hipervínculo" xfId="1982" builtinId="8" hidden="1"/>
    <cellStyle name="Hipervínculo" xfId="1984" builtinId="8" hidden="1"/>
    <cellStyle name="Hipervínculo" xfId="1986" builtinId="8" hidden="1"/>
    <cellStyle name="Hipervínculo" xfId="1988" builtinId="8" hidden="1"/>
    <cellStyle name="Hipervínculo" xfId="1990" builtinId="8" hidden="1"/>
    <cellStyle name="Hipervínculo" xfId="1992" builtinId="8" hidden="1"/>
    <cellStyle name="Hipervínculo" xfId="1994" builtinId="8" hidden="1"/>
    <cellStyle name="Hipervínculo" xfId="1996" builtinId="8" hidden="1"/>
    <cellStyle name="Hipervínculo" xfId="1998" builtinId="8" hidden="1"/>
    <cellStyle name="Hipervínculo" xfId="2000" builtinId="8" hidden="1"/>
    <cellStyle name="Hipervínculo" xfId="2002" builtinId="8" hidden="1"/>
    <cellStyle name="Hipervínculo" xfId="2004" builtinId="8" hidden="1"/>
    <cellStyle name="Hipervínculo" xfId="2006" builtinId="8" hidden="1"/>
    <cellStyle name="Hipervínculo" xfId="2008" builtinId="8" hidden="1"/>
    <cellStyle name="Hipervínculo" xfId="2010" builtinId="8" hidden="1"/>
    <cellStyle name="Hipervínculo" xfId="2012" builtinId="8" hidden="1"/>
    <cellStyle name="Hipervínculo" xfId="2014" builtinId="8" hidden="1"/>
    <cellStyle name="Hipervínculo" xfId="2016" builtinId="8" hidden="1"/>
    <cellStyle name="Hipervínculo" xfId="2018" builtinId="8" hidden="1"/>
    <cellStyle name="Hipervínculo" xfId="2020" builtinId="8" hidden="1"/>
    <cellStyle name="Hipervínculo" xfId="2022" builtinId="8" hidden="1"/>
    <cellStyle name="Hipervínculo" xfId="2024" builtinId="8" hidden="1"/>
    <cellStyle name="Hipervínculo" xfId="2026" builtinId="8" hidden="1"/>
    <cellStyle name="Hipervínculo" xfId="2028" builtinId="8" hidden="1"/>
    <cellStyle name="Hipervínculo" xfId="2030" builtinId="8" hidden="1"/>
    <cellStyle name="Hipervínculo" xfId="2032" builtinId="8" hidden="1"/>
    <cellStyle name="Hipervínculo" xfId="2034" builtinId="8" hidden="1"/>
    <cellStyle name="Hipervínculo" xfId="2036" builtinId="8" hidden="1"/>
    <cellStyle name="Hipervínculo" xfId="2038" builtinId="8" hidden="1"/>
    <cellStyle name="Hipervínculo" xfId="2040" builtinId="8" hidden="1"/>
    <cellStyle name="Hipervínculo" xfId="2042" builtinId="8" hidden="1"/>
    <cellStyle name="Hipervínculo" xfId="2044" builtinId="8" hidden="1"/>
    <cellStyle name="Hipervínculo" xfId="2046" builtinId="8" hidden="1"/>
    <cellStyle name="Hipervínculo" xfId="2048" builtinId="8" hidden="1"/>
    <cellStyle name="Hipervínculo" xfId="2050" builtinId="8" hidden="1"/>
    <cellStyle name="Hipervínculo" xfId="2052" builtinId="8" hidden="1"/>
    <cellStyle name="Hipervínculo" xfId="2054" builtinId="8" hidden="1"/>
    <cellStyle name="Hipervínculo" xfId="2056" builtinId="8" hidden="1"/>
    <cellStyle name="Hipervínculo" xfId="2058" builtinId="8" hidden="1"/>
    <cellStyle name="Hipervínculo" xfId="2060" builtinId="8" hidden="1"/>
    <cellStyle name="Hipervínculo" xfId="2062" builtinId="8" hidden="1"/>
    <cellStyle name="Hipervínculo" xfId="2064" builtinId="8" hidden="1"/>
    <cellStyle name="Hipervínculo" xfId="2066" builtinId="8" hidden="1"/>
    <cellStyle name="Hipervínculo" xfId="2068" builtinId="8" hidden="1"/>
    <cellStyle name="Hipervínculo" xfId="2070" builtinId="8" hidden="1"/>
    <cellStyle name="Hipervínculo" xfId="2072" builtinId="8" hidden="1"/>
    <cellStyle name="Hipervínculo" xfId="2074" builtinId="8" hidden="1"/>
    <cellStyle name="Hipervínculo" xfId="2076" builtinId="8" hidden="1"/>
    <cellStyle name="Hipervínculo" xfId="2078" builtinId="8" hidden="1"/>
    <cellStyle name="Hipervínculo" xfId="2080" builtinId="8" hidden="1"/>
    <cellStyle name="Hipervínculo" xfId="2082" builtinId="8" hidden="1"/>
    <cellStyle name="Hipervínculo" xfId="2084" builtinId="8" hidden="1"/>
    <cellStyle name="Hipervínculo" xfId="2086" builtinId="8" hidden="1"/>
    <cellStyle name="Hipervínculo" xfId="2088" builtinId="8" hidden="1"/>
    <cellStyle name="Hipervínculo" xfId="2090" builtinId="8" hidden="1"/>
    <cellStyle name="Hipervínculo" xfId="2092" builtinId="8" hidden="1"/>
    <cellStyle name="Hipervínculo" xfId="2094" builtinId="8" hidden="1"/>
    <cellStyle name="Hipervínculo" xfId="2096" builtinId="8" hidden="1"/>
    <cellStyle name="Hipervínculo" xfId="2098" builtinId="8" hidden="1"/>
    <cellStyle name="Hipervínculo" xfId="2100" builtinId="8" hidden="1"/>
    <cellStyle name="Hipervínculo" xfId="2102" builtinId="8" hidden="1"/>
    <cellStyle name="Hipervínculo" xfId="2104" builtinId="8" hidden="1"/>
    <cellStyle name="Hipervínculo" xfId="2106" builtinId="8" hidden="1"/>
    <cellStyle name="Hipervínculo" xfId="2108" builtinId="8" hidden="1"/>
    <cellStyle name="Hipervínculo" xfId="2110" builtinId="8" hidden="1"/>
    <cellStyle name="Hipervínculo" xfId="2112" builtinId="8" hidden="1"/>
    <cellStyle name="Hipervínculo" xfId="2114" builtinId="8" hidden="1"/>
    <cellStyle name="Hipervínculo" xfId="2116" builtinId="8" hidden="1"/>
    <cellStyle name="Hipervínculo" xfId="2118" builtinId="8" hidden="1"/>
    <cellStyle name="Hipervínculo" xfId="2120" builtinId="8" hidden="1"/>
    <cellStyle name="Hipervínculo" xfId="2122" builtinId="8" hidden="1"/>
    <cellStyle name="Hipervínculo" xfId="2124" builtinId="8" hidden="1"/>
    <cellStyle name="Hipervínculo" xfId="2126" builtinId="8" hidden="1"/>
    <cellStyle name="Hipervínculo" xfId="2128" builtinId="8" hidden="1"/>
    <cellStyle name="Hipervínculo" xfId="2130" builtinId="8" hidden="1"/>
    <cellStyle name="Hipervínculo" xfId="2132" builtinId="8" hidden="1"/>
    <cellStyle name="Hipervínculo" xfId="2134" builtinId="8" hidden="1"/>
    <cellStyle name="Hipervínculo" xfId="2136" builtinId="8" hidden="1"/>
    <cellStyle name="Hipervínculo" xfId="2138" builtinId="8" hidden="1"/>
    <cellStyle name="Hipervínculo" xfId="2140" builtinId="8" hidden="1"/>
    <cellStyle name="Hipervínculo" xfId="2142" builtinId="8" hidden="1"/>
    <cellStyle name="Hipervínculo" xfId="2144" builtinId="8" hidden="1"/>
    <cellStyle name="Hipervínculo" xfId="2146" builtinId="8" hidden="1"/>
    <cellStyle name="Hipervínculo" xfId="2148" builtinId="8" hidden="1"/>
    <cellStyle name="Hipervínculo" xfId="2150" builtinId="8" hidden="1"/>
    <cellStyle name="Hipervínculo" xfId="2152" builtinId="8" hidden="1"/>
    <cellStyle name="Hipervínculo" xfId="2154" builtinId="8" hidden="1"/>
    <cellStyle name="Hipervínculo" xfId="2156" builtinId="8" hidden="1"/>
    <cellStyle name="Hipervínculo" xfId="2158" builtinId="8" hidden="1"/>
    <cellStyle name="Hipervínculo" xfId="2160" builtinId="8" hidden="1"/>
    <cellStyle name="Hipervínculo" xfId="2162" builtinId="8" hidden="1"/>
    <cellStyle name="Hipervínculo" xfId="2164" builtinId="8" hidden="1"/>
    <cellStyle name="Hipervínculo" xfId="2166" builtinId="8" hidden="1"/>
    <cellStyle name="Hipervínculo" xfId="2168" builtinId="8" hidden="1"/>
    <cellStyle name="Hipervínculo" xfId="2170" builtinId="8" hidden="1"/>
    <cellStyle name="Hipervínculo" xfId="2172" builtinId="8" hidden="1"/>
    <cellStyle name="Hipervínculo" xfId="2174" builtinId="8" hidden="1"/>
    <cellStyle name="Hipervínculo" xfId="2176" builtinId="8" hidden="1"/>
    <cellStyle name="Hipervínculo" xfId="2178" builtinId="8" hidden="1"/>
    <cellStyle name="Hipervínculo" xfId="2180" builtinId="8" hidden="1"/>
    <cellStyle name="Hipervínculo" xfId="2182" builtinId="8" hidden="1"/>
    <cellStyle name="Hipervínculo" xfId="2184" builtinId="8" hidden="1"/>
    <cellStyle name="Hipervínculo" xfId="2186" builtinId="8" hidden="1"/>
    <cellStyle name="Hipervínculo" xfId="2188" builtinId="8" hidden="1"/>
    <cellStyle name="Hipervínculo" xfId="2190" builtinId="8" hidden="1"/>
    <cellStyle name="Hipervínculo" xfId="2192" builtinId="8" hidden="1"/>
    <cellStyle name="Hipervínculo" xfId="2194" builtinId="8" hidden="1"/>
    <cellStyle name="Hipervínculo" xfId="2196" builtinId="8" hidden="1"/>
    <cellStyle name="Hipervínculo" xfId="2198" builtinId="8" hidden="1"/>
    <cellStyle name="Hipervínculo" xfId="2200" builtinId="8" hidden="1"/>
    <cellStyle name="Hipervínculo" xfId="2202" builtinId="8" hidden="1"/>
    <cellStyle name="Hipervínculo" xfId="2204" builtinId="8" hidden="1"/>
    <cellStyle name="Hipervínculo" xfId="2206" builtinId="8" hidden="1"/>
    <cellStyle name="Hipervínculo" xfId="2208" builtinId="8" hidden="1"/>
    <cellStyle name="Hipervínculo" xfId="2210" builtinId="8" hidden="1"/>
    <cellStyle name="Hipervínculo" xfId="2212" builtinId="8" hidden="1"/>
    <cellStyle name="Hipervínculo" xfId="2214" builtinId="8" hidden="1"/>
    <cellStyle name="Hipervínculo" xfId="2216" builtinId="8" hidden="1"/>
    <cellStyle name="Hipervínculo" xfId="2218" builtinId="8" hidden="1"/>
    <cellStyle name="Hipervínculo" xfId="2220" builtinId="8" hidden="1"/>
    <cellStyle name="Hipervínculo" xfId="2222" builtinId="8" hidden="1"/>
    <cellStyle name="Hipervínculo" xfId="2224" builtinId="8" hidden="1"/>
    <cellStyle name="Hipervínculo" xfId="2226" builtinId="8" hidden="1"/>
    <cellStyle name="Hipervínculo" xfId="2228" builtinId="8" hidden="1"/>
    <cellStyle name="Hipervínculo" xfId="2230" builtinId="8" hidden="1"/>
    <cellStyle name="Hipervínculo" xfId="2232" builtinId="8" hidden="1"/>
    <cellStyle name="Hipervínculo" xfId="2234" builtinId="8" hidden="1"/>
    <cellStyle name="Hipervínculo" xfId="2236" builtinId="8" hidden="1"/>
    <cellStyle name="Hipervínculo" xfId="2238" builtinId="8" hidden="1"/>
    <cellStyle name="Hipervínculo" xfId="2240" builtinId="8" hidden="1"/>
    <cellStyle name="Hipervínculo" xfId="2242" builtinId="8" hidden="1"/>
    <cellStyle name="Hipervínculo" xfId="2244" builtinId="8" hidden="1"/>
    <cellStyle name="Hipervínculo" xfId="2246" builtinId="8" hidden="1"/>
    <cellStyle name="Hipervínculo" xfId="2248" builtinId="8" hidden="1"/>
    <cellStyle name="Hipervínculo" xfId="2250" builtinId="8" hidden="1"/>
    <cellStyle name="Hipervínculo" xfId="2252" builtinId="8" hidden="1"/>
    <cellStyle name="Hipervínculo" xfId="2254" builtinId="8" hidden="1"/>
    <cellStyle name="Hipervínculo" xfId="2256" builtinId="8" hidden="1"/>
    <cellStyle name="Hipervínculo" xfId="2258" builtinId="8" hidden="1"/>
    <cellStyle name="Hipervínculo" xfId="2260" builtinId="8" hidden="1"/>
    <cellStyle name="Hipervínculo" xfId="2262" builtinId="8" hidden="1"/>
    <cellStyle name="Hipervínculo" xfId="2264" builtinId="8" hidden="1"/>
    <cellStyle name="Hipervínculo" xfId="2266" builtinId="8" hidden="1"/>
    <cellStyle name="Hipervínculo" xfId="2268" builtinId="8" hidden="1"/>
    <cellStyle name="Hipervínculo" xfId="2270" builtinId="8" hidden="1"/>
    <cellStyle name="Hipervínculo" xfId="2272" builtinId="8" hidden="1"/>
    <cellStyle name="Hipervínculo" xfId="2274" builtinId="8" hidden="1"/>
    <cellStyle name="Hipervínculo" xfId="2276" builtinId="8" hidden="1"/>
    <cellStyle name="Hipervínculo" xfId="2278" builtinId="8" hidden="1"/>
    <cellStyle name="Hipervínculo" xfId="2280" builtinId="8" hidden="1"/>
    <cellStyle name="Hipervínculo" xfId="2282" builtinId="8" hidden="1"/>
    <cellStyle name="Hipervínculo" xfId="2284" builtinId="8" hidden="1"/>
    <cellStyle name="Hipervínculo" xfId="2286" builtinId="8" hidden="1"/>
    <cellStyle name="Hipervínculo" xfId="2288" builtinId="8" hidden="1"/>
    <cellStyle name="Hipervínculo" xfId="2290" builtinId="8" hidden="1"/>
    <cellStyle name="Hipervínculo" xfId="2292" builtinId="8" hidden="1"/>
    <cellStyle name="Hipervínculo" xfId="2294" builtinId="8" hidden="1"/>
    <cellStyle name="Hipervínculo" xfId="2296" builtinId="8" hidden="1"/>
    <cellStyle name="Hipervínculo" xfId="2298" builtinId="8" hidden="1"/>
    <cellStyle name="Hipervínculo" xfId="2300" builtinId="8" hidden="1"/>
    <cellStyle name="Hipervínculo" xfId="2302" builtinId="8" hidden="1"/>
    <cellStyle name="Hipervínculo" xfId="2304" builtinId="8" hidden="1"/>
    <cellStyle name="Hipervínculo" xfId="2306" builtinId="8" hidden="1"/>
    <cellStyle name="Hipervínculo" xfId="2308" builtinId="8" hidden="1"/>
    <cellStyle name="Hipervínculo" xfId="2310" builtinId="8" hidden="1"/>
    <cellStyle name="Hipervínculo" xfId="2312" builtinId="8" hidden="1"/>
    <cellStyle name="Hipervínculo" xfId="2314" builtinId="8" hidden="1"/>
    <cellStyle name="Hipervínculo" xfId="2316" builtinId="8" hidden="1"/>
    <cellStyle name="Hipervínculo" xfId="2318" builtinId="8" hidden="1"/>
    <cellStyle name="Hipervínculo" xfId="2320" builtinId="8" hidden="1"/>
    <cellStyle name="Hipervínculo" xfId="2322" builtinId="8" hidden="1"/>
    <cellStyle name="Hipervínculo" xfId="2324" builtinId="8" hidden="1"/>
    <cellStyle name="Hipervínculo" xfId="2326" builtinId="8" hidden="1"/>
    <cellStyle name="Hipervínculo" xfId="2328" builtinId="8" hidden="1"/>
    <cellStyle name="Hipervínculo" xfId="2330" builtinId="8" hidden="1"/>
    <cellStyle name="Hipervínculo" xfId="2332" builtinId="8" hidden="1"/>
    <cellStyle name="Hipervínculo" xfId="2334" builtinId="8" hidden="1"/>
    <cellStyle name="Hipervínculo" xfId="2336" builtinId="8" hidden="1"/>
    <cellStyle name="Hipervínculo" xfId="2338" builtinId="8" hidden="1"/>
    <cellStyle name="Hipervínculo" xfId="2340" builtinId="8" hidden="1"/>
    <cellStyle name="Hipervínculo" xfId="2342" builtinId="8" hidden="1"/>
    <cellStyle name="Hipervínculo" xfId="2344" builtinId="8" hidden="1"/>
    <cellStyle name="Hipervínculo" xfId="2346" builtinId="8" hidden="1"/>
    <cellStyle name="Hipervínculo" xfId="2348" builtinId="8" hidden="1"/>
    <cellStyle name="Hipervínculo" xfId="2350" builtinId="8" hidden="1"/>
    <cellStyle name="Hipervínculo" xfId="2352" builtinId="8" hidden="1"/>
    <cellStyle name="Hipervínculo" xfId="2354" builtinId="8" hidden="1"/>
    <cellStyle name="Hipervínculo" xfId="2356" builtinId="8" hidden="1"/>
    <cellStyle name="Hipervínculo" xfId="2358" builtinId="8" hidden="1"/>
    <cellStyle name="Hipervínculo" xfId="2360" builtinId="8" hidden="1"/>
    <cellStyle name="Hipervínculo" xfId="2362" builtinId="8" hidden="1"/>
    <cellStyle name="Hipervínculo" xfId="2364" builtinId="8" hidden="1"/>
    <cellStyle name="Hipervínculo" xfId="2366" builtinId="8" hidden="1"/>
    <cellStyle name="Hipervínculo" xfId="2368" builtinId="8" hidden="1"/>
    <cellStyle name="Hipervínculo" xfId="2370" builtinId="8" hidden="1"/>
    <cellStyle name="Hipervínculo" xfId="2372" builtinId="8" hidden="1"/>
    <cellStyle name="Hipervínculo" xfId="2374" builtinId="8" hidden="1"/>
    <cellStyle name="Hipervínculo" xfId="2376" builtinId="8" hidden="1"/>
    <cellStyle name="Hipervínculo" xfId="2378" builtinId="8" hidden="1"/>
    <cellStyle name="Hipervínculo" xfId="2380" builtinId="8" hidden="1"/>
    <cellStyle name="Hipervínculo" xfId="2382" builtinId="8" hidden="1"/>
    <cellStyle name="Hipervínculo" xfId="2384" builtinId="8" hidden="1"/>
    <cellStyle name="Hipervínculo" xfId="2386" builtinId="8" hidden="1"/>
    <cellStyle name="Hipervínculo" xfId="2388" builtinId="8" hidden="1"/>
    <cellStyle name="Hipervínculo" xfId="2390" builtinId="8" hidden="1"/>
    <cellStyle name="Hipervínculo" xfId="2392" builtinId="8" hidden="1"/>
    <cellStyle name="Hipervínculo" xfId="2394" builtinId="8" hidden="1"/>
    <cellStyle name="Hipervínculo" xfId="2396" builtinId="8" hidden="1"/>
    <cellStyle name="Hipervínculo" xfId="2398" builtinId="8" hidden="1"/>
    <cellStyle name="Hipervínculo" xfId="2400" builtinId="8" hidden="1"/>
    <cellStyle name="Hipervínculo" xfId="2402" builtinId="8" hidden="1"/>
    <cellStyle name="Hipervínculo" xfId="2404" builtinId="8" hidden="1"/>
    <cellStyle name="Hipervínculo" xfId="2406" builtinId="8" hidden="1"/>
    <cellStyle name="Hipervínculo" xfId="2408" builtinId="8" hidden="1"/>
    <cellStyle name="Hipervínculo" xfId="2410" builtinId="8" hidden="1"/>
    <cellStyle name="Hipervínculo" xfId="2412" builtinId="8" hidden="1"/>
    <cellStyle name="Hipervínculo" xfId="2414" builtinId="8" hidden="1"/>
    <cellStyle name="Hipervínculo" xfId="2416" builtinId="8" hidden="1"/>
    <cellStyle name="Hipervínculo" xfId="2418" builtinId="8" hidden="1"/>
    <cellStyle name="Hipervínculo" xfId="2420" builtinId="8" hidden="1"/>
    <cellStyle name="Hipervínculo" xfId="2422" builtinId="8" hidden="1"/>
    <cellStyle name="Hipervínculo" xfId="2424" builtinId="8" hidden="1"/>
    <cellStyle name="Hipervínculo" xfId="2426" builtinId="8" hidden="1"/>
    <cellStyle name="Hipervínculo" xfId="2428" builtinId="8" hidden="1"/>
    <cellStyle name="Hipervínculo" xfId="2430" builtinId="8" hidden="1"/>
    <cellStyle name="Hipervínculo" xfId="2432" builtinId="8" hidden="1"/>
    <cellStyle name="Hipervínculo" xfId="2434" builtinId="8" hidden="1"/>
    <cellStyle name="Hipervínculo" xfId="2436" builtinId="8" hidden="1"/>
    <cellStyle name="Hipervínculo" xfId="2438" builtinId="8" hidden="1"/>
    <cellStyle name="Hipervínculo" xfId="2440" builtinId="8" hidden="1"/>
    <cellStyle name="Hipervínculo" xfId="2442" builtinId="8" hidden="1"/>
    <cellStyle name="Hipervínculo" xfId="2444" builtinId="8" hidden="1"/>
    <cellStyle name="Hipervínculo" xfId="2446" builtinId="8" hidden="1"/>
    <cellStyle name="Hipervínculo" xfId="2448" builtinId="8" hidden="1"/>
    <cellStyle name="Hipervínculo" xfId="2450" builtinId="8" hidden="1"/>
    <cellStyle name="Hipervínculo" xfId="2452" builtinId="8" hidden="1"/>
    <cellStyle name="Hipervínculo" xfId="2454" builtinId="8" hidden="1"/>
    <cellStyle name="Hipervínculo" xfId="2456" builtinId="8" hidden="1"/>
    <cellStyle name="Hipervínculo" xfId="2458" builtinId="8" hidden="1"/>
    <cellStyle name="Hipervínculo" xfId="2460" builtinId="8" hidden="1"/>
    <cellStyle name="Hipervínculo" xfId="2462" builtinId="8" hidden="1"/>
    <cellStyle name="Hipervínculo" xfId="2464" builtinId="8" hidden="1"/>
    <cellStyle name="Hipervínculo" xfId="2466" builtinId="8" hidden="1"/>
    <cellStyle name="Hipervínculo" xfId="2468" builtinId="8" hidden="1"/>
    <cellStyle name="Hipervínculo" xfId="2470" builtinId="8" hidden="1"/>
    <cellStyle name="Hipervínculo" xfId="2472" builtinId="8" hidden="1"/>
    <cellStyle name="Hipervínculo" xfId="2474" builtinId="8" hidden="1"/>
    <cellStyle name="Hipervínculo" xfId="2476" builtinId="8" hidden="1"/>
    <cellStyle name="Hipervínculo" xfId="2478" builtinId="8" hidden="1"/>
    <cellStyle name="Hipervínculo" xfId="2480" builtinId="8" hidden="1"/>
    <cellStyle name="Hipervínculo" xfId="2482" builtinId="8" hidden="1"/>
    <cellStyle name="Hipervínculo" xfId="2484" builtinId="8" hidden="1"/>
    <cellStyle name="Hipervínculo" xfId="2486" builtinId="8" hidden="1"/>
    <cellStyle name="Hipervínculo" xfId="2488" builtinId="8" hidden="1"/>
    <cellStyle name="Hipervínculo" xfId="2490" builtinId="8" hidden="1"/>
    <cellStyle name="Hipervínculo" xfId="2492" builtinId="8" hidden="1"/>
    <cellStyle name="Hipervínculo" xfId="2494" builtinId="8" hidden="1"/>
    <cellStyle name="Hipervínculo" xfId="2496" builtinId="8" hidden="1"/>
    <cellStyle name="Hipervínculo" xfId="2498" builtinId="8" hidden="1"/>
    <cellStyle name="Hipervínculo" xfId="2500" builtinId="8" hidden="1"/>
    <cellStyle name="Hipervínculo" xfId="2502" builtinId="8" hidden="1"/>
    <cellStyle name="Hipervínculo" xfId="2504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Hipervínculo visitado" xfId="647" builtinId="9" hidden="1"/>
    <cellStyle name="Hipervínculo visitado" xfId="649" builtinId="9" hidden="1"/>
    <cellStyle name="Hipervínculo visitado" xfId="651" builtinId="9" hidden="1"/>
    <cellStyle name="Hipervínculo visitado" xfId="653" builtinId="9" hidden="1"/>
    <cellStyle name="Hipervínculo visitado" xfId="655" builtinId="9" hidden="1"/>
    <cellStyle name="Hipervínculo visitado" xfId="657" builtinId="9" hidden="1"/>
    <cellStyle name="Hipervínculo visitado" xfId="659" builtinId="9" hidden="1"/>
    <cellStyle name="Hipervínculo visitado" xfId="661" builtinId="9" hidden="1"/>
    <cellStyle name="Hipervínculo visitado" xfId="663" builtinId="9" hidden="1"/>
    <cellStyle name="Hipervínculo visitado" xfId="665" builtinId="9" hidden="1"/>
    <cellStyle name="Hipervínculo visitado" xfId="667" builtinId="9" hidden="1"/>
    <cellStyle name="Hipervínculo visitado" xfId="669" builtinId="9" hidden="1"/>
    <cellStyle name="Hipervínculo visitado" xfId="671" builtinId="9" hidden="1"/>
    <cellStyle name="Hipervínculo visitado" xfId="673" builtinId="9" hidden="1"/>
    <cellStyle name="Hipervínculo visitado" xfId="675" builtinId="9" hidden="1"/>
    <cellStyle name="Hipervínculo visitado" xfId="677" builtinId="9" hidden="1"/>
    <cellStyle name="Hipervínculo visitado" xfId="679" builtinId="9" hidden="1"/>
    <cellStyle name="Hipervínculo visitado" xfId="681" builtinId="9" hidden="1"/>
    <cellStyle name="Hipervínculo visitado" xfId="683" builtinId="9" hidden="1"/>
    <cellStyle name="Hipervínculo visitado" xfId="685" builtinId="9" hidden="1"/>
    <cellStyle name="Hipervínculo visitado" xfId="687" builtinId="9" hidden="1"/>
    <cellStyle name="Hipervínculo visitado" xfId="689" builtinId="9" hidden="1"/>
    <cellStyle name="Hipervínculo visitado" xfId="691" builtinId="9" hidden="1"/>
    <cellStyle name="Hipervínculo visitado" xfId="693" builtinId="9" hidden="1"/>
    <cellStyle name="Hipervínculo visitado" xfId="695" builtinId="9" hidden="1"/>
    <cellStyle name="Hipervínculo visitado" xfId="697" builtinId="9" hidden="1"/>
    <cellStyle name="Hipervínculo visitado" xfId="699" builtinId="9" hidden="1"/>
    <cellStyle name="Hipervínculo visitado" xfId="701" builtinId="9" hidden="1"/>
    <cellStyle name="Hipervínculo visitado" xfId="703" builtinId="9" hidden="1"/>
    <cellStyle name="Hipervínculo visitado" xfId="705" builtinId="9" hidden="1"/>
    <cellStyle name="Hipervínculo visitado" xfId="707" builtinId="9" hidden="1"/>
    <cellStyle name="Hipervínculo visitado" xfId="709" builtinId="9" hidden="1"/>
    <cellStyle name="Hipervínculo visitado" xfId="711" builtinId="9" hidden="1"/>
    <cellStyle name="Hipervínculo visitado" xfId="713" builtinId="9" hidden="1"/>
    <cellStyle name="Hipervínculo visitado" xfId="715" builtinId="9" hidden="1"/>
    <cellStyle name="Hipervínculo visitado" xfId="717" builtinId="9" hidden="1"/>
    <cellStyle name="Hipervínculo visitado" xfId="719" builtinId="9" hidden="1"/>
    <cellStyle name="Hipervínculo visitado" xfId="721" builtinId="9" hidden="1"/>
    <cellStyle name="Hipervínculo visitado" xfId="723" builtinId="9" hidden="1"/>
    <cellStyle name="Hipervínculo visitado" xfId="725" builtinId="9" hidden="1"/>
    <cellStyle name="Hipervínculo visitado" xfId="727" builtinId="9" hidden="1"/>
    <cellStyle name="Hipervínculo visitado" xfId="729" builtinId="9" hidden="1"/>
    <cellStyle name="Hipervínculo visitado" xfId="731" builtinId="9" hidden="1"/>
    <cellStyle name="Hipervínculo visitado" xfId="733" builtinId="9" hidden="1"/>
    <cellStyle name="Hipervínculo visitado" xfId="735" builtinId="9" hidden="1"/>
    <cellStyle name="Hipervínculo visitado" xfId="737" builtinId="9" hidden="1"/>
    <cellStyle name="Hipervínculo visitado" xfId="739" builtinId="9" hidden="1"/>
    <cellStyle name="Hipervínculo visitado" xfId="741" builtinId="9" hidden="1"/>
    <cellStyle name="Hipervínculo visitado" xfId="743" builtinId="9" hidden="1"/>
    <cellStyle name="Hipervínculo visitado" xfId="745" builtinId="9" hidden="1"/>
    <cellStyle name="Hipervínculo visitado" xfId="747" builtinId="9" hidden="1"/>
    <cellStyle name="Hipervínculo visitado" xfId="749" builtinId="9" hidden="1"/>
    <cellStyle name="Hipervínculo visitado" xfId="751" builtinId="9" hidden="1"/>
    <cellStyle name="Hipervínculo visitado" xfId="753" builtinId="9" hidden="1"/>
    <cellStyle name="Hipervínculo visitado" xfId="755" builtinId="9" hidden="1"/>
    <cellStyle name="Hipervínculo visitado" xfId="757" builtinId="9" hidden="1"/>
    <cellStyle name="Hipervínculo visitado" xfId="759" builtinId="9" hidden="1"/>
    <cellStyle name="Hipervínculo visitado" xfId="761" builtinId="9" hidden="1"/>
    <cellStyle name="Hipervínculo visitado" xfId="763" builtinId="9" hidden="1"/>
    <cellStyle name="Hipervínculo visitado" xfId="765" builtinId="9" hidden="1"/>
    <cellStyle name="Hipervínculo visitado" xfId="767" builtinId="9" hidden="1"/>
    <cellStyle name="Hipervínculo visitado" xfId="769" builtinId="9" hidden="1"/>
    <cellStyle name="Hipervínculo visitado" xfId="771" builtinId="9" hidden="1"/>
    <cellStyle name="Hipervínculo visitado" xfId="773" builtinId="9" hidden="1"/>
    <cellStyle name="Hipervínculo visitado" xfId="775" builtinId="9" hidden="1"/>
    <cellStyle name="Hipervínculo visitado" xfId="777" builtinId="9" hidden="1"/>
    <cellStyle name="Hipervínculo visitado" xfId="779" builtinId="9" hidden="1"/>
    <cellStyle name="Hipervínculo visitado" xfId="781" builtinId="9" hidden="1"/>
    <cellStyle name="Hipervínculo visitado" xfId="783" builtinId="9" hidden="1"/>
    <cellStyle name="Hipervínculo visitado" xfId="785" builtinId="9" hidden="1"/>
    <cellStyle name="Hipervínculo visitado" xfId="787" builtinId="9" hidden="1"/>
    <cellStyle name="Hipervínculo visitado" xfId="789" builtinId="9" hidden="1"/>
    <cellStyle name="Hipervínculo visitado" xfId="791" builtinId="9" hidden="1"/>
    <cellStyle name="Hipervínculo visitado" xfId="793" builtinId="9" hidden="1"/>
    <cellStyle name="Hipervínculo visitado" xfId="795" builtinId="9" hidden="1"/>
    <cellStyle name="Hipervínculo visitado" xfId="797" builtinId="9" hidden="1"/>
    <cellStyle name="Hipervínculo visitado" xfId="799" builtinId="9" hidden="1"/>
    <cellStyle name="Hipervínculo visitado" xfId="801" builtinId="9" hidden="1"/>
    <cellStyle name="Hipervínculo visitado" xfId="803" builtinId="9" hidden="1"/>
    <cellStyle name="Hipervínculo visitado" xfId="805" builtinId="9" hidden="1"/>
    <cellStyle name="Hipervínculo visitado" xfId="807" builtinId="9" hidden="1"/>
    <cellStyle name="Hipervínculo visitado" xfId="809" builtinId="9" hidden="1"/>
    <cellStyle name="Hipervínculo visitado" xfId="811" builtinId="9" hidden="1"/>
    <cellStyle name="Hipervínculo visitado" xfId="813" builtinId="9" hidden="1"/>
    <cellStyle name="Hipervínculo visitado" xfId="815" builtinId="9" hidden="1"/>
    <cellStyle name="Hipervínculo visitado" xfId="817" builtinId="9" hidden="1"/>
    <cellStyle name="Hipervínculo visitado" xfId="819" builtinId="9" hidden="1"/>
    <cellStyle name="Hipervínculo visitado" xfId="821" builtinId="9" hidden="1"/>
    <cellStyle name="Hipervínculo visitado" xfId="823" builtinId="9" hidden="1"/>
    <cellStyle name="Hipervínculo visitado" xfId="825" builtinId="9" hidden="1"/>
    <cellStyle name="Hipervínculo visitado" xfId="827" builtinId="9" hidden="1"/>
    <cellStyle name="Hipervínculo visitado" xfId="829" builtinId="9" hidden="1"/>
    <cellStyle name="Hipervínculo visitado" xfId="831" builtinId="9" hidden="1"/>
    <cellStyle name="Hipervínculo visitado" xfId="833" builtinId="9" hidden="1"/>
    <cellStyle name="Hipervínculo visitado" xfId="835" builtinId="9" hidden="1"/>
    <cellStyle name="Hipervínculo visitado" xfId="837" builtinId="9" hidden="1"/>
    <cellStyle name="Hipervínculo visitado" xfId="839" builtinId="9" hidden="1"/>
    <cellStyle name="Hipervínculo visitado" xfId="841" builtinId="9" hidden="1"/>
    <cellStyle name="Hipervínculo visitado" xfId="843" builtinId="9" hidden="1"/>
    <cellStyle name="Hipervínculo visitado" xfId="845" builtinId="9" hidden="1"/>
    <cellStyle name="Hipervínculo visitado" xfId="847" builtinId="9" hidden="1"/>
    <cellStyle name="Hipervínculo visitado" xfId="849" builtinId="9" hidden="1"/>
    <cellStyle name="Hipervínculo visitado" xfId="851" builtinId="9" hidden="1"/>
    <cellStyle name="Hipervínculo visitado" xfId="853" builtinId="9" hidden="1"/>
    <cellStyle name="Hipervínculo visitado" xfId="855" builtinId="9" hidden="1"/>
    <cellStyle name="Hipervínculo visitado" xfId="857" builtinId="9" hidden="1"/>
    <cellStyle name="Hipervínculo visitado" xfId="859" builtinId="9" hidden="1"/>
    <cellStyle name="Hipervínculo visitado" xfId="861" builtinId="9" hidden="1"/>
    <cellStyle name="Hipervínculo visitado" xfId="863" builtinId="9" hidden="1"/>
    <cellStyle name="Hipervínculo visitado" xfId="865" builtinId="9" hidden="1"/>
    <cellStyle name="Hipervínculo visitado" xfId="867" builtinId="9" hidden="1"/>
    <cellStyle name="Hipervínculo visitado" xfId="869" builtinId="9" hidden="1"/>
    <cellStyle name="Hipervínculo visitado" xfId="871" builtinId="9" hidden="1"/>
    <cellStyle name="Hipervínculo visitado" xfId="873" builtinId="9" hidden="1"/>
    <cellStyle name="Hipervínculo visitado" xfId="875" builtinId="9" hidden="1"/>
    <cellStyle name="Hipervínculo visitado" xfId="877" builtinId="9" hidden="1"/>
    <cellStyle name="Hipervínculo visitado" xfId="879" builtinId="9" hidden="1"/>
    <cellStyle name="Hipervínculo visitado" xfId="881" builtinId="9" hidden="1"/>
    <cellStyle name="Hipervínculo visitado" xfId="883" builtinId="9" hidden="1"/>
    <cellStyle name="Hipervínculo visitado" xfId="885" builtinId="9" hidden="1"/>
    <cellStyle name="Hipervínculo visitado" xfId="887" builtinId="9" hidden="1"/>
    <cellStyle name="Hipervínculo visitado" xfId="889" builtinId="9" hidden="1"/>
    <cellStyle name="Hipervínculo visitado" xfId="891" builtinId="9" hidden="1"/>
    <cellStyle name="Hipervínculo visitado" xfId="893" builtinId="9" hidden="1"/>
    <cellStyle name="Hipervínculo visitado" xfId="895" builtinId="9" hidden="1"/>
    <cellStyle name="Hipervínculo visitado" xfId="897" builtinId="9" hidden="1"/>
    <cellStyle name="Hipervínculo visitado" xfId="899" builtinId="9" hidden="1"/>
    <cellStyle name="Hipervínculo visitado" xfId="901" builtinId="9" hidden="1"/>
    <cellStyle name="Hipervínculo visitado" xfId="903" builtinId="9" hidden="1"/>
    <cellStyle name="Hipervínculo visitado" xfId="905" builtinId="9" hidden="1"/>
    <cellStyle name="Hipervínculo visitado" xfId="907" builtinId="9" hidden="1"/>
    <cellStyle name="Hipervínculo visitado" xfId="909" builtinId="9" hidden="1"/>
    <cellStyle name="Hipervínculo visitado" xfId="911" builtinId="9" hidden="1"/>
    <cellStyle name="Hipervínculo visitado" xfId="913" builtinId="9" hidden="1"/>
    <cellStyle name="Hipervínculo visitado" xfId="915" builtinId="9" hidden="1"/>
    <cellStyle name="Hipervínculo visitado" xfId="917" builtinId="9" hidden="1"/>
    <cellStyle name="Hipervínculo visitado" xfId="919" builtinId="9" hidden="1"/>
    <cellStyle name="Hipervínculo visitado" xfId="921" builtinId="9" hidden="1"/>
    <cellStyle name="Hipervínculo visitado" xfId="923" builtinId="9" hidden="1"/>
    <cellStyle name="Hipervínculo visitado" xfId="925" builtinId="9" hidden="1"/>
    <cellStyle name="Hipervínculo visitado" xfId="927" builtinId="9" hidden="1"/>
    <cellStyle name="Hipervínculo visitado" xfId="929" builtinId="9" hidden="1"/>
    <cellStyle name="Hipervínculo visitado" xfId="931" builtinId="9" hidden="1"/>
    <cellStyle name="Hipervínculo visitado" xfId="933" builtinId="9" hidden="1"/>
    <cellStyle name="Hipervínculo visitado" xfId="935" builtinId="9" hidden="1"/>
    <cellStyle name="Hipervínculo visitado" xfId="937" builtinId="9" hidden="1"/>
    <cellStyle name="Hipervínculo visitado" xfId="939" builtinId="9" hidden="1"/>
    <cellStyle name="Hipervínculo visitado" xfId="941" builtinId="9" hidden="1"/>
    <cellStyle name="Hipervínculo visitado" xfId="943" builtinId="9" hidden="1"/>
    <cellStyle name="Hipervínculo visitado" xfId="945" builtinId="9" hidden="1"/>
    <cellStyle name="Hipervínculo visitado" xfId="947" builtinId="9" hidden="1"/>
    <cellStyle name="Hipervínculo visitado" xfId="949" builtinId="9" hidden="1"/>
    <cellStyle name="Hipervínculo visitado" xfId="951" builtinId="9" hidden="1"/>
    <cellStyle name="Hipervínculo visitado" xfId="953" builtinId="9" hidden="1"/>
    <cellStyle name="Hipervínculo visitado" xfId="955" builtinId="9" hidden="1"/>
    <cellStyle name="Hipervínculo visitado" xfId="957" builtinId="9" hidden="1"/>
    <cellStyle name="Hipervínculo visitado" xfId="959" builtinId="9" hidden="1"/>
    <cellStyle name="Hipervínculo visitado" xfId="961" builtinId="9" hidden="1"/>
    <cellStyle name="Hipervínculo visitado" xfId="963" builtinId="9" hidden="1"/>
    <cellStyle name="Hipervínculo visitado" xfId="965" builtinId="9" hidden="1"/>
    <cellStyle name="Hipervínculo visitado" xfId="967" builtinId="9" hidden="1"/>
    <cellStyle name="Hipervínculo visitado" xfId="969" builtinId="9" hidden="1"/>
    <cellStyle name="Hipervínculo visitado" xfId="971" builtinId="9" hidden="1"/>
    <cellStyle name="Hipervínculo visitado" xfId="973" builtinId="9" hidden="1"/>
    <cellStyle name="Hipervínculo visitado" xfId="975" builtinId="9" hidden="1"/>
    <cellStyle name="Hipervínculo visitado" xfId="977" builtinId="9" hidden="1"/>
    <cellStyle name="Hipervínculo visitado" xfId="979" builtinId="9" hidden="1"/>
    <cellStyle name="Hipervínculo visitado" xfId="981" builtinId="9" hidden="1"/>
    <cellStyle name="Hipervínculo visitado" xfId="983" builtinId="9" hidden="1"/>
    <cellStyle name="Hipervínculo visitado" xfId="985" builtinId="9" hidden="1"/>
    <cellStyle name="Hipervínculo visitado" xfId="987" builtinId="9" hidden="1"/>
    <cellStyle name="Hipervínculo visitado" xfId="989" builtinId="9" hidden="1"/>
    <cellStyle name="Hipervínculo visitado" xfId="991" builtinId="9" hidden="1"/>
    <cellStyle name="Hipervínculo visitado" xfId="993" builtinId="9" hidden="1"/>
    <cellStyle name="Hipervínculo visitado" xfId="995" builtinId="9" hidden="1"/>
    <cellStyle name="Hipervínculo visitado" xfId="997" builtinId="9" hidden="1"/>
    <cellStyle name="Hipervínculo visitado" xfId="999" builtinId="9" hidden="1"/>
    <cellStyle name="Hipervínculo visitado" xfId="1001" builtinId="9" hidden="1"/>
    <cellStyle name="Hipervínculo visitado" xfId="1003" builtinId="9" hidden="1"/>
    <cellStyle name="Hipervínculo visitado" xfId="1005" builtinId="9" hidden="1"/>
    <cellStyle name="Hipervínculo visitado" xfId="1007" builtinId="9" hidden="1"/>
    <cellStyle name="Hipervínculo visitado" xfId="1009" builtinId="9" hidden="1"/>
    <cellStyle name="Hipervínculo visitado" xfId="1011" builtinId="9" hidden="1"/>
    <cellStyle name="Hipervínculo visitado" xfId="1013" builtinId="9" hidden="1"/>
    <cellStyle name="Hipervínculo visitado" xfId="1015" builtinId="9" hidden="1"/>
    <cellStyle name="Hipervínculo visitado" xfId="1017" builtinId="9" hidden="1"/>
    <cellStyle name="Hipervínculo visitado" xfId="1019" builtinId="9" hidden="1"/>
    <cellStyle name="Hipervínculo visitado" xfId="1021" builtinId="9" hidden="1"/>
    <cellStyle name="Hipervínculo visitado" xfId="1023" builtinId="9" hidden="1"/>
    <cellStyle name="Hipervínculo visitado" xfId="1025" builtinId="9" hidden="1"/>
    <cellStyle name="Hipervínculo visitado" xfId="1027" builtinId="9" hidden="1"/>
    <cellStyle name="Hipervínculo visitado" xfId="1029" builtinId="9" hidden="1"/>
    <cellStyle name="Hipervínculo visitado" xfId="1031" builtinId="9" hidden="1"/>
    <cellStyle name="Hipervínculo visitado" xfId="1033" builtinId="9" hidden="1"/>
    <cellStyle name="Hipervínculo visitado" xfId="1035" builtinId="9" hidden="1"/>
    <cellStyle name="Hipervínculo visitado" xfId="1037" builtinId="9" hidden="1"/>
    <cellStyle name="Hipervínculo visitado" xfId="1039" builtinId="9" hidden="1"/>
    <cellStyle name="Hipervínculo visitado" xfId="1041" builtinId="9" hidden="1"/>
    <cellStyle name="Hipervínculo visitado" xfId="1043" builtinId="9" hidden="1"/>
    <cellStyle name="Hipervínculo visitado" xfId="1045" builtinId="9" hidden="1"/>
    <cellStyle name="Hipervínculo visitado" xfId="1047" builtinId="9" hidden="1"/>
    <cellStyle name="Hipervínculo visitado" xfId="1049" builtinId="9" hidden="1"/>
    <cellStyle name="Hipervínculo visitado" xfId="1051" builtinId="9" hidden="1"/>
    <cellStyle name="Hipervínculo visitado" xfId="1053" builtinId="9" hidden="1"/>
    <cellStyle name="Hipervínculo visitado" xfId="1055" builtinId="9" hidden="1"/>
    <cellStyle name="Hipervínculo visitado" xfId="1057" builtinId="9" hidden="1"/>
    <cellStyle name="Hipervínculo visitado" xfId="1059" builtinId="9" hidden="1"/>
    <cellStyle name="Hipervínculo visitado" xfId="1061" builtinId="9" hidden="1"/>
    <cellStyle name="Hipervínculo visitado" xfId="1063" builtinId="9" hidden="1"/>
    <cellStyle name="Hipervínculo visitado" xfId="1065" builtinId="9" hidden="1"/>
    <cellStyle name="Hipervínculo visitado" xfId="1067" builtinId="9" hidden="1"/>
    <cellStyle name="Hipervínculo visitado" xfId="1069" builtinId="9" hidden="1"/>
    <cellStyle name="Hipervínculo visitado" xfId="1071" builtinId="9" hidden="1"/>
    <cellStyle name="Hipervínculo visitado" xfId="1073" builtinId="9" hidden="1"/>
    <cellStyle name="Hipervínculo visitado" xfId="1075" builtinId="9" hidden="1"/>
    <cellStyle name="Hipervínculo visitado" xfId="1077" builtinId="9" hidden="1"/>
    <cellStyle name="Hipervínculo visitado" xfId="1079" builtinId="9" hidden="1"/>
    <cellStyle name="Hipervínculo visitado" xfId="1081" builtinId="9" hidden="1"/>
    <cellStyle name="Hipervínculo visitado" xfId="1083" builtinId="9" hidden="1"/>
    <cellStyle name="Hipervínculo visitado" xfId="1085" builtinId="9" hidden="1"/>
    <cellStyle name="Hipervínculo visitado" xfId="1087" builtinId="9" hidden="1"/>
    <cellStyle name="Hipervínculo visitado" xfId="1089" builtinId="9" hidden="1"/>
    <cellStyle name="Hipervínculo visitado" xfId="1091" builtinId="9" hidden="1"/>
    <cellStyle name="Hipervínculo visitado" xfId="1093" builtinId="9" hidden="1"/>
    <cellStyle name="Hipervínculo visitado" xfId="1095" builtinId="9" hidden="1"/>
    <cellStyle name="Hipervínculo visitado" xfId="1097" builtinId="9" hidden="1"/>
    <cellStyle name="Hipervínculo visitado" xfId="1099" builtinId="9" hidden="1"/>
    <cellStyle name="Hipervínculo visitado" xfId="1101" builtinId="9" hidden="1"/>
    <cellStyle name="Hipervínculo visitado" xfId="1103" builtinId="9" hidden="1"/>
    <cellStyle name="Hipervínculo visitado" xfId="1105" builtinId="9" hidden="1"/>
    <cellStyle name="Hipervínculo visitado" xfId="1107" builtinId="9" hidden="1"/>
    <cellStyle name="Hipervínculo visitado" xfId="1109" builtinId="9" hidden="1"/>
    <cellStyle name="Hipervínculo visitado" xfId="1111" builtinId="9" hidden="1"/>
    <cellStyle name="Hipervínculo visitado" xfId="1113" builtinId="9" hidden="1"/>
    <cellStyle name="Hipervínculo visitado" xfId="1115" builtinId="9" hidden="1"/>
    <cellStyle name="Hipervínculo visitado" xfId="1117" builtinId="9" hidden="1"/>
    <cellStyle name="Hipervínculo visitado" xfId="1119" builtinId="9" hidden="1"/>
    <cellStyle name="Hipervínculo visitado" xfId="1121" builtinId="9" hidden="1"/>
    <cellStyle name="Hipervínculo visitado" xfId="1123" builtinId="9" hidden="1"/>
    <cellStyle name="Hipervínculo visitado" xfId="1125" builtinId="9" hidden="1"/>
    <cellStyle name="Hipervínculo visitado" xfId="1127" builtinId="9" hidden="1"/>
    <cellStyle name="Hipervínculo visitado" xfId="1129" builtinId="9" hidden="1"/>
    <cellStyle name="Hipervínculo visitado" xfId="1131" builtinId="9" hidden="1"/>
    <cellStyle name="Hipervínculo visitado" xfId="1133" builtinId="9" hidden="1"/>
    <cellStyle name="Hipervínculo visitado" xfId="1135" builtinId="9" hidden="1"/>
    <cellStyle name="Hipervínculo visitado" xfId="1137" builtinId="9" hidden="1"/>
    <cellStyle name="Hipervínculo visitado" xfId="1139" builtinId="9" hidden="1"/>
    <cellStyle name="Hipervínculo visitado" xfId="1141" builtinId="9" hidden="1"/>
    <cellStyle name="Hipervínculo visitado" xfId="1143" builtinId="9" hidden="1"/>
    <cellStyle name="Hipervínculo visitado" xfId="1145" builtinId="9" hidden="1"/>
    <cellStyle name="Hipervínculo visitado" xfId="1147" builtinId="9" hidden="1"/>
    <cellStyle name="Hipervínculo visitado" xfId="1149" builtinId="9" hidden="1"/>
    <cellStyle name="Hipervínculo visitado" xfId="1151" builtinId="9" hidden="1"/>
    <cellStyle name="Hipervínculo visitado" xfId="1153" builtinId="9" hidden="1"/>
    <cellStyle name="Hipervínculo visitado" xfId="1155" builtinId="9" hidden="1"/>
    <cellStyle name="Hipervínculo visitado" xfId="1157" builtinId="9" hidden="1"/>
    <cellStyle name="Hipervínculo visitado" xfId="1159" builtinId="9" hidden="1"/>
    <cellStyle name="Hipervínculo visitado" xfId="1161" builtinId="9" hidden="1"/>
    <cellStyle name="Hipervínculo visitado" xfId="1163" builtinId="9" hidden="1"/>
    <cellStyle name="Hipervínculo visitado" xfId="1165" builtinId="9" hidden="1"/>
    <cellStyle name="Hipervínculo visitado" xfId="1167" builtinId="9" hidden="1"/>
    <cellStyle name="Hipervínculo visitado" xfId="1169" builtinId="9" hidden="1"/>
    <cellStyle name="Hipervínculo visitado" xfId="1171" builtinId="9" hidden="1"/>
    <cellStyle name="Hipervínculo visitado" xfId="1173" builtinId="9" hidden="1"/>
    <cellStyle name="Hipervínculo visitado" xfId="1175" builtinId="9" hidden="1"/>
    <cellStyle name="Hipervínculo visitado" xfId="1177" builtinId="9" hidden="1"/>
    <cellStyle name="Hipervínculo visitado" xfId="1179" builtinId="9" hidden="1"/>
    <cellStyle name="Hipervínculo visitado" xfId="1181" builtinId="9" hidden="1"/>
    <cellStyle name="Hipervínculo visitado" xfId="1183" builtinId="9" hidden="1"/>
    <cellStyle name="Hipervínculo visitado" xfId="1185" builtinId="9" hidden="1"/>
    <cellStyle name="Hipervínculo visitado" xfId="1187" builtinId="9" hidden="1"/>
    <cellStyle name="Hipervínculo visitado" xfId="1189" builtinId="9" hidden="1"/>
    <cellStyle name="Hipervínculo visitado" xfId="1191" builtinId="9" hidden="1"/>
    <cellStyle name="Hipervínculo visitado" xfId="1193" builtinId="9" hidden="1"/>
    <cellStyle name="Hipervínculo visitado" xfId="1195" builtinId="9" hidden="1"/>
    <cellStyle name="Hipervínculo visitado" xfId="1197" builtinId="9" hidden="1"/>
    <cellStyle name="Hipervínculo visitado" xfId="1199" builtinId="9" hidden="1"/>
    <cellStyle name="Hipervínculo visitado" xfId="1201" builtinId="9" hidden="1"/>
    <cellStyle name="Hipervínculo visitado" xfId="1203" builtinId="9" hidden="1"/>
    <cellStyle name="Hipervínculo visitado" xfId="1205" builtinId="9" hidden="1"/>
    <cellStyle name="Hipervínculo visitado" xfId="1207" builtinId="9" hidden="1"/>
    <cellStyle name="Hipervínculo visitado" xfId="1209" builtinId="9" hidden="1"/>
    <cellStyle name="Hipervínculo visitado" xfId="1211" builtinId="9" hidden="1"/>
    <cellStyle name="Hipervínculo visitado" xfId="1213" builtinId="9" hidden="1"/>
    <cellStyle name="Hipervínculo visitado" xfId="1215" builtinId="9" hidden="1"/>
    <cellStyle name="Hipervínculo visitado" xfId="1217" builtinId="9" hidden="1"/>
    <cellStyle name="Hipervínculo visitado" xfId="1219" builtinId="9" hidden="1"/>
    <cellStyle name="Hipervínculo visitado" xfId="1221" builtinId="9" hidden="1"/>
    <cellStyle name="Hipervínculo visitado" xfId="1223" builtinId="9" hidden="1"/>
    <cellStyle name="Hipervínculo visitado" xfId="1225" builtinId="9" hidden="1"/>
    <cellStyle name="Hipervínculo visitado" xfId="1227" builtinId="9" hidden="1"/>
    <cellStyle name="Hipervínculo visitado" xfId="1229" builtinId="9" hidden="1"/>
    <cellStyle name="Hipervínculo visitado" xfId="1231" builtinId="9" hidden="1"/>
    <cellStyle name="Hipervínculo visitado" xfId="1233" builtinId="9" hidden="1"/>
    <cellStyle name="Hipervínculo visitado" xfId="1235" builtinId="9" hidden="1"/>
    <cellStyle name="Hipervínculo visitado" xfId="1237" builtinId="9" hidden="1"/>
    <cellStyle name="Hipervínculo visitado" xfId="1239" builtinId="9" hidden="1"/>
    <cellStyle name="Hipervínculo visitado" xfId="1241" builtinId="9" hidden="1"/>
    <cellStyle name="Hipervínculo visitado" xfId="1243" builtinId="9" hidden="1"/>
    <cellStyle name="Hipervínculo visitado" xfId="1245" builtinId="9" hidden="1"/>
    <cellStyle name="Hipervínculo visitado" xfId="1247" builtinId="9" hidden="1"/>
    <cellStyle name="Hipervínculo visitado" xfId="1249" builtinId="9" hidden="1"/>
    <cellStyle name="Hipervínculo visitado" xfId="1251" builtinId="9" hidden="1"/>
    <cellStyle name="Hipervínculo visitado" xfId="1253" builtinId="9" hidden="1"/>
    <cellStyle name="Hipervínculo visitado" xfId="1255" builtinId="9" hidden="1"/>
    <cellStyle name="Hipervínculo visitado" xfId="1257" builtinId="9" hidden="1"/>
    <cellStyle name="Hipervínculo visitado" xfId="1259" builtinId="9" hidden="1"/>
    <cellStyle name="Hipervínculo visitado" xfId="1261" builtinId="9" hidden="1"/>
    <cellStyle name="Hipervínculo visitado" xfId="1263" builtinId="9" hidden="1"/>
    <cellStyle name="Hipervínculo visitado" xfId="1265" builtinId="9" hidden="1"/>
    <cellStyle name="Hipervínculo visitado" xfId="1267" builtinId="9" hidden="1"/>
    <cellStyle name="Hipervínculo visitado" xfId="1269" builtinId="9" hidden="1"/>
    <cellStyle name="Hipervínculo visitado" xfId="1271" builtinId="9" hidden="1"/>
    <cellStyle name="Hipervínculo visitado" xfId="1273" builtinId="9" hidden="1"/>
    <cellStyle name="Hipervínculo visitado" xfId="1275" builtinId="9" hidden="1"/>
    <cellStyle name="Hipervínculo visitado" xfId="1277" builtinId="9" hidden="1"/>
    <cellStyle name="Hipervínculo visitado" xfId="1279" builtinId="9" hidden="1"/>
    <cellStyle name="Hipervínculo visitado" xfId="1281" builtinId="9" hidden="1"/>
    <cellStyle name="Hipervínculo visitado" xfId="1283" builtinId="9" hidden="1"/>
    <cellStyle name="Hipervínculo visitado" xfId="1285" builtinId="9" hidden="1"/>
    <cellStyle name="Hipervínculo visitado" xfId="1287" builtinId="9" hidden="1"/>
    <cellStyle name="Hipervínculo visitado" xfId="1289" builtinId="9" hidden="1"/>
    <cellStyle name="Hipervínculo visitado" xfId="1291" builtinId="9" hidden="1"/>
    <cellStyle name="Hipervínculo visitado" xfId="1293" builtinId="9" hidden="1"/>
    <cellStyle name="Hipervínculo visitado" xfId="1295" builtinId="9" hidden="1"/>
    <cellStyle name="Hipervínculo visitado" xfId="1297" builtinId="9" hidden="1"/>
    <cellStyle name="Hipervínculo visitado" xfId="1299" builtinId="9" hidden="1"/>
    <cellStyle name="Hipervínculo visitado" xfId="1301" builtinId="9" hidden="1"/>
    <cellStyle name="Hipervínculo visitado" xfId="1303" builtinId="9" hidden="1"/>
    <cellStyle name="Hipervínculo visitado" xfId="1305" builtinId="9" hidden="1"/>
    <cellStyle name="Hipervínculo visitado" xfId="1307" builtinId="9" hidden="1"/>
    <cellStyle name="Hipervínculo visitado" xfId="1309" builtinId="9" hidden="1"/>
    <cellStyle name="Hipervínculo visitado" xfId="1311" builtinId="9" hidden="1"/>
    <cellStyle name="Hipervínculo visitado" xfId="1313" builtinId="9" hidden="1"/>
    <cellStyle name="Hipervínculo visitado" xfId="1315" builtinId="9" hidden="1"/>
    <cellStyle name="Hipervínculo visitado" xfId="1317" builtinId="9" hidden="1"/>
    <cellStyle name="Hipervínculo visitado" xfId="1319" builtinId="9" hidden="1"/>
    <cellStyle name="Hipervínculo visitado" xfId="1321" builtinId="9" hidden="1"/>
    <cellStyle name="Hipervínculo visitado" xfId="1323" builtinId="9" hidden="1"/>
    <cellStyle name="Hipervínculo visitado" xfId="1325" builtinId="9" hidden="1"/>
    <cellStyle name="Hipervínculo visitado" xfId="1327" builtinId="9" hidden="1"/>
    <cellStyle name="Hipervínculo visitado" xfId="1329" builtinId="9" hidden="1"/>
    <cellStyle name="Hipervínculo visitado" xfId="1331" builtinId="9" hidden="1"/>
    <cellStyle name="Hipervínculo visitado" xfId="1333" builtinId="9" hidden="1"/>
    <cellStyle name="Hipervínculo visitado" xfId="1335" builtinId="9" hidden="1"/>
    <cellStyle name="Hipervínculo visitado" xfId="1337" builtinId="9" hidden="1"/>
    <cellStyle name="Hipervínculo visitado" xfId="1339" builtinId="9" hidden="1"/>
    <cellStyle name="Hipervínculo visitado" xfId="1341" builtinId="9" hidden="1"/>
    <cellStyle name="Hipervínculo visitado" xfId="1343" builtinId="9" hidden="1"/>
    <cellStyle name="Hipervínculo visitado" xfId="1345" builtinId="9" hidden="1"/>
    <cellStyle name="Hipervínculo visitado" xfId="1347" builtinId="9" hidden="1"/>
    <cellStyle name="Hipervínculo visitado" xfId="1349" builtinId="9" hidden="1"/>
    <cellStyle name="Hipervínculo visitado" xfId="1351" builtinId="9" hidden="1"/>
    <cellStyle name="Hipervínculo visitado" xfId="1353" builtinId="9" hidden="1"/>
    <cellStyle name="Hipervínculo visitado" xfId="1355" builtinId="9" hidden="1"/>
    <cellStyle name="Hipervínculo visitado" xfId="1357" builtinId="9" hidden="1"/>
    <cellStyle name="Hipervínculo visitado" xfId="1359" builtinId="9" hidden="1"/>
    <cellStyle name="Hipervínculo visitado" xfId="1361" builtinId="9" hidden="1"/>
    <cellStyle name="Hipervínculo visitado" xfId="1363" builtinId="9" hidden="1"/>
    <cellStyle name="Hipervínculo visitado" xfId="1365" builtinId="9" hidden="1"/>
    <cellStyle name="Hipervínculo visitado" xfId="1367" builtinId="9" hidden="1"/>
    <cellStyle name="Hipervínculo visitado" xfId="1369" builtinId="9" hidden="1"/>
    <cellStyle name="Hipervínculo visitado" xfId="1371" builtinId="9" hidden="1"/>
    <cellStyle name="Hipervínculo visitado" xfId="1373" builtinId="9" hidden="1"/>
    <cellStyle name="Hipervínculo visitado" xfId="1375" builtinId="9" hidden="1"/>
    <cellStyle name="Hipervínculo visitado" xfId="1377" builtinId="9" hidden="1"/>
    <cellStyle name="Hipervínculo visitado" xfId="1379" builtinId="9" hidden="1"/>
    <cellStyle name="Hipervínculo visitado" xfId="1381" builtinId="9" hidden="1"/>
    <cellStyle name="Hipervínculo visitado" xfId="1383" builtinId="9" hidden="1"/>
    <cellStyle name="Hipervínculo visitado" xfId="1385" builtinId="9" hidden="1"/>
    <cellStyle name="Hipervínculo visitado" xfId="1387" builtinId="9" hidden="1"/>
    <cellStyle name="Hipervínculo visitado" xfId="1389" builtinId="9" hidden="1"/>
    <cellStyle name="Hipervínculo visitado" xfId="1391" builtinId="9" hidden="1"/>
    <cellStyle name="Hipervínculo visitado" xfId="1393" builtinId="9" hidden="1"/>
    <cellStyle name="Hipervínculo visitado" xfId="1395" builtinId="9" hidden="1"/>
    <cellStyle name="Hipervínculo visitado" xfId="1397" builtinId="9" hidden="1"/>
    <cellStyle name="Hipervínculo visitado" xfId="1399" builtinId="9" hidden="1"/>
    <cellStyle name="Hipervínculo visitado" xfId="1401" builtinId="9" hidden="1"/>
    <cellStyle name="Hipervínculo visitado" xfId="1403" builtinId="9" hidden="1"/>
    <cellStyle name="Hipervínculo visitado" xfId="1405" builtinId="9" hidden="1"/>
    <cellStyle name="Hipervínculo visitado" xfId="1407" builtinId="9" hidden="1"/>
    <cellStyle name="Hipervínculo visitado" xfId="1409" builtinId="9" hidden="1"/>
    <cellStyle name="Hipervínculo visitado" xfId="1411" builtinId="9" hidden="1"/>
    <cellStyle name="Hipervínculo visitado" xfId="1413" builtinId="9" hidden="1"/>
    <cellStyle name="Hipervínculo visitado" xfId="1415" builtinId="9" hidden="1"/>
    <cellStyle name="Hipervínculo visitado" xfId="1417" builtinId="9" hidden="1"/>
    <cellStyle name="Hipervínculo visitado" xfId="1419" builtinId="9" hidden="1"/>
    <cellStyle name="Hipervínculo visitado" xfId="1421" builtinId="9" hidden="1"/>
    <cellStyle name="Hipervínculo visitado" xfId="1423" builtinId="9" hidden="1"/>
    <cellStyle name="Hipervínculo visitado" xfId="1425" builtinId="9" hidden="1"/>
    <cellStyle name="Hipervínculo visitado" xfId="1427" builtinId="9" hidden="1"/>
    <cellStyle name="Hipervínculo visitado" xfId="1429" builtinId="9" hidden="1"/>
    <cellStyle name="Hipervínculo visitado" xfId="1431" builtinId="9" hidden="1"/>
    <cellStyle name="Hipervínculo visitado" xfId="1433" builtinId="9" hidden="1"/>
    <cellStyle name="Hipervínculo visitado" xfId="1435" builtinId="9" hidden="1"/>
    <cellStyle name="Hipervínculo visitado" xfId="1437" builtinId="9" hidden="1"/>
    <cellStyle name="Hipervínculo visitado" xfId="1439" builtinId="9" hidden="1"/>
    <cellStyle name="Hipervínculo visitado" xfId="1441" builtinId="9" hidden="1"/>
    <cellStyle name="Hipervínculo visitado" xfId="1443" builtinId="9" hidden="1"/>
    <cellStyle name="Hipervínculo visitado" xfId="1445" builtinId="9" hidden="1"/>
    <cellStyle name="Hipervínculo visitado" xfId="1447" builtinId="9" hidden="1"/>
    <cellStyle name="Hipervínculo visitado" xfId="1449" builtinId="9" hidden="1"/>
    <cellStyle name="Hipervínculo visitado" xfId="1451" builtinId="9" hidden="1"/>
    <cellStyle name="Hipervínculo visitado" xfId="1453" builtinId="9" hidden="1"/>
    <cellStyle name="Hipervínculo visitado" xfId="1455" builtinId="9" hidden="1"/>
    <cellStyle name="Hipervínculo visitado" xfId="1457" builtinId="9" hidden="1"/>
    <cellStyle name="Hipervínculo visitado" xfId="1459" builtinId="9" hidden="1"/>
    <cellStyle name="Hipervínculo visitado" xfId="1461" builtinId="9" hidden="1"/>
    <cellStyle name="Hipervínculo visitado" xfId="1463" builtinId="9" hidden="1"/>
    <cellStyle name="Hipervínculo visitado" xfId="1465" builtinId="9" hidden="1"/>
    <cellStyle name="Hipervínculo visitado" xfId="1467" builtinId="9" hidden="1"/>
    <cellStyle name="Hipervínculo visitado" xfId="1469" builtinId="9" hidden="1"/>
    <cellStyle name="Hipervínculo visitado" xfId="1471" builtinId="9" hidden="1"/>
    <cellStyle name="Hipervínculo visitado" xfId="1473" builtinId="9" hidden="1"/>
    <cellStyle name="Hipervínculo visitado" xfId="1475" builtinId="9" hidden="1"/>
    <cellStyle name="Hipervínculo visitado" xfId="1477" builtinId="9" hidden="1"/>
    <cellStyle name="Hipervínculo visitado" xfId="1479" builtinId="9" hidden="1"/>
    <cellStyle name="Hipervínculo visitado" xfId="1481" builtinId="9" hidden="1"/>
    <cellStyle name="Hipervínculo visitado" xfId="1483" builtinId="9" hidden="1"/>
    <cellStyle name="Hipervínculo visitado" xfId="1485" builtinId="9" hidden="1"/>
    <cellStyle name="Hipervínculo visitado" xfId="1487" builtinId="9" hidden="1"/>
    <cellStyle name="Hipervínculo visitado" xfId="1489" builtinId="9" hidden="1"/>
    <cellStyle name="Hipervínculo visitado" xfId="1491" builtinId="9" hidden="1"/>
    <cellStyle name="Hipervínculo visitado" xfId="1493" builtinId="9" hidden="1"/>
    <cellStyle name="Hipervínculo visitado" xfId="1495" builtinId="9" hidden="1"/>
    <cellStyle name="Hipervínculo visitado" xfId="1497" builtinId="9" hidden="1"/>
    <cellStyle name="Hipervínculo visitado" xfId="1499" builtinId="9" hidden="1"/>
    <cellStyle name="Hipervínculo visitado" xfId="1501" builtinId="9" hidden="1"/>
    <cellStyle name="Hipervínculo visitado" xfId="1503" builtinId="9" hidden="1"/>
    <cellStyle name="Hipervínculo visitado" xfId="1505" builtinId="9" hidden="1"/>
    <cellStyle name="Hipervínculo visitado" xfId="1507" builtinId="9" hidden="1"/>
    <cellStyle name="Hipervínculo visitado" xfId="1509" builtinId="9" hidden="1"/>
    <cellStyle name="Hipervínculo visitado" xfId="1511" builtinId="9" hidden="1"/>
    <cellStyle name="Hipervínculo visitado" xfId="1513" builtinId="9" hidden="1"/>
    <cellStyle name="Hipervínculo visitado" xfId="1515" builtinId="9" hidden="1"/>
    <cellStyle name="Hipervínculo visitado" xfId="1517" builtinId="9" hidden="1"/>
    <cellStyle name="Hipervínculo visitado" xfId="1519" builtinId="9" hidden="1"/>
    <cellStyle name="Hipervínculo visitado" xfId="1521" builtinId="9" hidden="1"/>
    <cellStyle name="Hipervínculo visitado" xfId="1523" builtinId="9" hidden="1"/>
    <cellStyle name="Hipervínculo visitado" xfId="1525" builtinId="9" hidden="1"/>
    <cellStyle name="Hipervínculo visitado" xfId="1527" builtinId="9" hidden="1"/>
    <cellStyle name="Hipervínculo visitado" xfId="1529" builtinId="9" hidden="1"/>
    <cellStyle name="Hipervínculo visitado" xfId="1531" builtinId="9" hidden="1"/>
    <cellStyle name="Hipervínculo visitado" xfId="1533" builtinId="9" hidden="1"/>
    <cellStyle name="Hipervínculo visitado" xfId="1535" builtinId="9" hidden="1"/>
    <cellStyle name="Hipervínculo visitado" xfId="1537" builtinId="9" hidden="1"/>
    <cellStyle name="Hipervínculo visitado" xfId="1539" builtinId="9" hidden="1"/>
    <cellStyle name="Hipervínculo visitado" xfId="1541" builtinId="9" hidden="1"/>
    <cellStyle name="Hipervínculo visitado" xfId="1543" builtinId="9" hidden="1"/>
    <cellStyle name="Hipervínculo visitado" xfId="1545" builtinId="9" hidden="1"/>
    <cellStyle name="Hipervínculo visitado" xfId="1547" builtinId="9" hidden="1"/>
    <cellStyle name="Hipervínculo visitado" xfId="1549" builtinId="9" hidden="1"/>
    <cellStyle name="Hipervínculo visitado" xfId="1551" builtinId="9" hidden="1"/>
    <cellStyle name="Hipervínculo visitado" xfId="1553" builtinId="9" hidden="1"/>
    <cellStyle name="Hipervínculo visitado" xfId="1555" builtinId="9" hidden="1"/>
    <cellStyle name="Hipervínculo visitado" xfId="1557" builtinId="9" hidden="1"/>
    <cellStyle name="Hipervínculo visitado" xfId="1559" builtinId="9" hidden="1"/>
    <cellStyle name="Hipervínculo visitado" xfId="1561" builtinId="9" hidden="1"/>
    <cellStyle name="Hipervínculo visitado" xfId="1563" builtinId="9" hidden="1"/>
    <cellStyle name="Hipervínculo visitado" xfId="1565" builtinId="9" hidden="1"/>
    <cellStyle name="Hipervínculo visitado" xfId="1567" builtinId="9" hidden="1"/>
    <cellStyle name="Hipervínculo visitado" xfId="1569" builtinId="9" hidden="1"/>
    <cellStyle name="Hipervínculo visitado" xfId="1571" builtinId="9" hidden="1"/>
    <cellStyle name="Hipervínculo visitado" xfId="1573" builtinId="9" hidden="1"/>
    <cellStyle name="Hipervínculo visitado" xfId="1575" builtinId="9" hidden="1"/>
    <cellStyle name="Hipervínculo visitado" xfId="1577" builtinId="9" hidden="1"/>
    <cellStyle name="Hipervínculo visitado" xfId="1579" builtinId="9" hidden="1"/>
    <cellStyle name="Hipervínculo visitado" xfId="1581" builtinId="9" hidden="1"/>
    <cellStyle name="Hipervínculo visitado" xfId="1583" builtinId="9" hidden="1"/>
    <cellStyle name="Hipervínculo visitado" xfId="1585" builtinId="9" hidden="1"/>
    <cellStyle name="Hipervínculo visitado" xfId="1587" builtinId="9" hidden="1"/>
    <cellStyle name="Hipervínculo visitado" xfId="1589" builtinId="9" hidden="1"/>
    <cellStyle name="Hipervínculo visitado" xfId="1591" builtinId="9" hidden="1"/>
    <cellStyle name="Hipervínculo visitado" xfId="1593" builtinId="9" hidden="1"/>
    <cellStyle name="Hipervínculo visitado" xfId="1595" builtinId="9" hidden="1"/>
    <cellStyle name="Hipervínculo visitado" xfId="1597" builtinId="9" hidden="1"/>
    <cellStyle name="Hipervínculo visitado" xfId="1599" builtinId="9" hidden="1"/>
    <cellStyle name="Hipervínculo visitado" xfId="1601" builtinId="9" hidden="1"/>
    <cellStyle name="Hipervínculo visitado" xfId="1603" builtinId="9" hidden="1"/>
    <cellStyle name="Hipervínculo visitado" xfId="1605" builtinId="9" hidden="1"/>
    <cellStyle name="Hipervínculo visitado" xfId="1607" builtinId="9" hidden="1"/>
    <cellStyle name="Hipervínculo visitado" xfId="1609" builtinId="9" hidden="1"/>
    <cellStyle name="Hipervínculo visitado" xfId="1611" builtinId="9" hidden="1"/>
    <cellStyle name="Hipervínculo visitado" xfId="1613" builtinId="9" hidden="1"/>
    <cellStyle name="Hipervínculo visitado" xfId="1615" builtinId="9" hidden="1"/>
    <cellStyle name="Hipervínculo visitado" xfId="1617" builtinId="9" hidden="1"/>
    <cellStyle name="Hipervínculo visitado" xfId="1619" builtinId="9" hidden="1"/>
    <cellStyle name="Hipervínculo visitado" xfId="1621" builtinId="9" hidden="1"/>
    <cellStyle name="Hipervínculo visitado" xfId="1623" builtinId="9" hidden="1"/>
    <cellStyle name="Hipervínculo visitado" xfId="1625" builtinId="9" hidden="1"/>
    <cellStyle name="Hipervínculo visitado" xfId="1627" builtinId="9" hidden="1"/>
    <cellStyle name="Hipervínculo visitado" xfId="1629" builtinId="9" hidden="1"/>
    <cellStyle name="Hipervínculo visitado" xfId="1631" builtinId="9" hidden="1"/>
    <cellStyle name="Hipervínculo visitado" xfId="1633" builtinId="9" hidden="1"/>
    <cellStyle name="Hipervínculo visitado" xfId="1635" builtinId="9" hidden="1"/>
    <cellStyle name="Hipervínculo visitado" xfId="1637" builtinId="9" hidden="1"/>
    <cellStyle name="Hipervínculo visitado" xfId="1639" builtinId="9" hidden="1"/>
    <cellStyle name="Hipervínculo visitado" xfId="1641" builtinId="9" hidden="1"/>
    <cellStyle name="Hipervínculo visitado" xfId="1643" builtinId="9" hidden="1"/>
    <cellStyle name="Hipervínculo visitado" xfId="1645" builtinId="9" hidden="1"/>
    <cellStyle name="Hipervínculo visitado" xfId="1647" builtinId="9" hidden="1"/>
    <cellStyle name="Hipervínculo visitado" xfId="1649" builtinId="9" hidden="1"/>
    <cellStyle name="Hipervínculo visitado" xfId="1651" builtinId="9" hidden="1"/>
    <cellStyle name="Hipervínculo visitado" xfId="1653" builtinId="9" hidden="1"/>
    <cellStyle name="Hipervínculo visitado" xfId="1655" builtinId="9" hidden="1"/>
    <cellStyle name="Hipervínculo visitado" xfId="1657" builtinId="9" hidden="1"/>
    <cellStyle name="Hipervínculo visitado" xfId="1659" builtinId="9" hidden="1"/>
    <cellStyle name="Hipervínculo visitado" xfId="1661" builtinId="9" hidden="1"/>
    <cellStyle name="Hipervínculo visitado" xfId="1663" builtinId="9" hidden="1"/>
    <cellStyle name="Hipervínculo visitado" xfId="1665" builtinId="9" hidden="1"/>
    <cellStyle name="Hipervínculo visitado" xfId="1667" builtinId="9" hidden="1"/>
    <cellStyle name="Hipervínculo visitado" xfId="1669" builtinId="9" hidden="1"/>
    <cellStyle name="Hipervínculo visitado" xfId="1671" builtinId="9" hidden="1"/>
    <cellStyle name="Hipervínculo visitado" xfId="1673" builtinId="9" hidden="1"/>
    <cellStyle name="Hipervínculo visitado" xfId="1675" builtinId="9" hidden="1"/>
    <cellStyle name="Hipervínculo visitado" xfId="1677" builtinId="9" hidden="1"/>
    <cellStyle name="Hipervínculo visitado" xfId="1679" builtinId="9" hidden="1"/>
    <cellStyle name="Hipervínculo visitado" xfId="1681" builtinId="9" hidden="1"/>
    <cellStyle name="Hipervínculo visitado" xfId="1683" builtinId="9" hidden="1"/>
    <cellStyle name="Hipervínculo visitado" xfId="1685" builtinId="9" hidden="1"/>
    <cellStyle name="Hipervínculo visitado" xfId="1687" builtinId="9" hidden="1"/>
    <cellStyle name="Hipervínculo visitado" xfId="1689" builtinId="9" hidden="1"/>
    <cellStyle name="Hipervínculo visitado" xfId="1691" builtinId="9" hidden="1"/>
    <cellStyle name="Hipervínculo visitado" xfId="1693" builtinId="9" hidden="1"/>
    <cellStyle name="Hipervínculo visitado" xfId="1695" builtinId="9" hidden="1"/>
    <cellStyle name="Hipervínculo visitado" xfId="1697" builtinId="9" hidden="1"/>
    <cellStyle name="Hipervínculo visitado" xfId="1699" builtinId="9" hidden="1"/>
    <cellStyle name="Hipervínculo visitado" xfId="1701" builtinId="9" hidden="1"/>
    <cellStyle name="Hipervínculo visitado" xfId="1703" builtinId="9" hidden="1"/>
    <cellStyle name="Hipervínculo visitado" xfId="1705" builtinId="9" hidden="1"/>
    <cellStyle name="Hipervínculo visitado" xfId="1707" builtinId="9" hidden="1"/>
    <cellStyle name="Hipervínculo visitado" xfId="1709" builtinId="9" hidden="1"/>
    <cellStyle name="Hipervínculo visitado" xfId="1711" builtinId="9" hidden="1"/>
    <cellStyle name="Hipervínculo visitado" xfId="1713" builtinId="9" hidden="1"/>
    <cellStyle name="Hipervínculo visitado" xfId="1715" builtinId="9" hidden="1"/>
    <cellStyle name="Hipervínculo visitado" xfId="1717" builtinId="9" hidden="1"/>
    <cellStyle name="Hipervínculo visitado" xfId="1719" builtinId="9" hidden="1"/>
    <cellStyle name="Hipervínculo visitado" xfId="1721" builtinId="9" hidden="1"/>
    <cellStyle name="Hipervínculo visitado" xfId="1723" builtinId="9" hidden="1"/>
    <cellStyle name="Hipervínculo visitado" xfId="1725" builtinId="9" hidden="1"/>
    <cellStyle name="Hipervínculo visitado" xfId="1727" builtinId="9" hidden="1"/>
    <cellStyle name="Hipervínculo visitado" xfId="1729" builtinId="9" hidden="1"/>
    <cellStyle name="Hipervínculo visitado" xfId="1731" builtinId="9" hidden="1"/>
    <cellStyle name="Hipervínculo visitado" xfId="1733" builtinId="9" hidden="1"/>
    <cellStyle name="Hipervínculo visitado" xfId="1735" builtinId="9" hidden="1"/>
    <cellStyle name="Hipervínculo visitado" xfId="1737" builtinId="9" hidden="1"/>
    <cellStyle name="Hipervínculo visitado" xfId="1739" builtinId="9" hidden="1"/>
    <cellStyle name="Hipervínculo visitado" xfId="1741" builtinId="9" hidden="1"/>
    <cellStyle name="Hipervínculo visitado" xfId="1743" builtinId="9" hidden="1"/>
    <cellStyle name="Hipervínculo visitado" xfId="1745" builtinId="9" hidden="1"/>
    <cellStyle name="Hipervínculo visitado" xfId="1747" builtinId="9" hidden="1"/>
    <cellStyle name="Hipervínculo visitado" xfId="1749" builtinId="9" hidden="1"/>
    <cellStyle name="Hipervínculo visitado" xfId="1751" builtinId="9" hidden="1"/>
    <cellStyle name="Hipervínculo visitado" xfId="1753" builtinId="9" hidden="1"/>
    <cellStyle name="Hipervínculo visitado" xfId="1755" builtinId="9" hidden="1"/>
    <cellStyle name="Hipervínculo visitado" xfId="1757" builtinId="9" hidden="1"/>
    <cellStyle name="Hipervínculo visitado" xfId="1759" builtinId="9" hidden="1"/>
    <cellStyle name="Hipervínculo visitado" xfId="1761" builtinId="9" hidden="1"/>
    <cellStyle name="Hipervínculo visitado" xfId="1763" builtinId="9" hidden="1"/>
    <cellStyle name="Hipervínculo visitado" xfId="1765" builtinId="9" hidden="1"/>
    <cellStyle name="Hipervínculo visitado" xfId="1767" builtinId="9" hidden="1"/>
    <cellStyle name="Hipervínculo visitado" xfId="1769" builtinId="9" hidden="1"/>
    <cellStyle name="Hipervínculo visitado" xfId="1771" builtinId="9" hidden="1"/>
    <cellStyle name="Hipervínculo visitado" xfId="1773" builtinId="9" hidden="1"/>
    <cellStyle name="Hipervínculo visitado" xfId="1775" builtinId="9" hidden="1"/>
    <cellStyle name="Hipervínculo visitado" xfId="1777" builtinId="9" hidden="1"/>
    <cellStyle name="Hipervínculo visitado" xfId="1779" builtinId="9" hidden="1"/>
    <cellStyle name="Hipervínculo visitado" xfId="1781" builtinId="9" hidden="1"/>
    <cellStyle name="Hipervínculo visitado" xfId="1783" builtinId="9" hidden="1"/>
    <cellStyle name="Hipervínculo visitado" xfId="1785" builtinId="9" hidden="1"/>
    <cellStyle name="Hipervínculo visitado" xfId="1787" builtinId="9" hidden="1"/>
    <cellStyle name="Hipervínculo visitado" xfId="1789" builtinId="9" hidden="1"/>
    <cellStyle name="Hipervínculo visitado" xfId="1791" builtinId="9" hidden="1"/>
    <cellStyle name="Hipervínculo visitado" xfId="1793" builtinId="9" hidden="1"/>
    <cellStyle name="Hipervínculo visitado" xfId="1795" builtinId="9" hidden="1"/>
    <cellStyle name="Hipervínculo visitado" xfId="1797" builtinId="9" hidden="1"/>
    <cellStyle name="Hipervínculo visitado" xfId="1799" builtinId="9" hidden="1"/>
    <cellStyle name="Hipervínculo visitado" xfId="1801" builtinId="9" hidden="1"/>
    <cellStyle name="Hipervínculo visitado" xfId="1803" builtinId="9" hidden="1"/>
    <cellStyle name="Hipervínculo visitado" xfId="1805" builtinId="9" hidden="1"/>
    <cellStyle name="Hipervínculo visitado" xfId="1807" builtinId="9" hidden="1"/>
    <cellStyle name="Hipervínculo visitado" xfId="1809" builtinId="9" hidden="1"/>
    <cellStyle name="Hipervínculo visitado" xfId="1811" builtinId="9" hidden="1"/>
    <cellStyle name="Hipervínculo visitado" xfId="1813" builtinId="9" hidden="1"/>
    <cellStyle name="Hipervínculo visitado" xfId="1815" builtinId="9" hidden="1"/>
    <cellStyle name="Hipervínculo visitado" xfId="1817" builtinId="9" hidden="1"/>
    <cellStyle name="Hipervínculo visitado" xfId="1819" builtinId="9" hidden="1"/>
    <cellStyle name="Hipervínculo visitado" xfId="1821" builtinId="9" hidden="1"/>
    <cellStyle name="Hipervínculo visitado" xfId="1823" builtinId="9" hidden="1"/>
    <cellStyle name="Hipervínculo visitado" xfId="1825" builtinId="9" hidden="1"/>
    <cellStyle name="Hipervínculo visitado" xfId="1827" builtinId="9" hidden="1"/>
    <cellStyle name="Hipervínculo visitado" xfId="1829" builtinId="9" hidden="1"/>
    <cellStyle name="Hipervínculo visitado" xfId="1831" builtinId="9" hidden="1"/>
    <cellStyle name="Hipervínculo visitado" xfId="1833" builtinId="9" hidden="1"/>
    <cellStyle name="Hipervínculo visitado" xfId="1835" builtinId="9" hidden="1"/>
    <cellStyle name="Hipervínculo visitado" xfId="1837" builtinId="9" hidden="1"/>
    <cellStyle name="Hipervínculo visitado" xfId="1839" builtinId="9" hidden="1"/>
    <cellStyle name="Hipervínculo visitado" xfId="1841" builtinId="9" hidden="1"/>
    <cellStyle name="Hipervínculo visitado" xfId="1843" builtinId="9" hidden="1"/>
    <cellStyle name="Hipervínculo visitado" xfId="1845" builtinId="9" hidden="1"/>
    <cellStyle name="Hipervínculo visitado" xfId="1847" builtinId="9" hidden="1"/>
    <cellStyle name="Hipervínculo visitado" xfId="1849" builtinId="9" hidden="1"/>
    <cellStyle name="Hipervínculo visitado" xfId="1851" builtinId="9" hidden="1"/>
    <cellStyle name="Hipervínculo visitado" xfId="1853" builtinId="9" hidden="1"/>
    <cellStyle name="Hipervínculo visitado" xfId="1855" builtinId="9" hidden="1"/>
    <cellStyle name="Hipervínculo visitado" xfId="1857" builtinId="9" hidden="1"/>
    <cellStyle name="Hipervínculo visitado" xfId="1859" builtinId="9" hidden="1"/>
    <cellStyle name="Hipervínculo visitado" xfId="1861" builtinId="9" hidden="1"/>
    <cellStyle name="Hipervínculo visitado" xfId="1863" builtinId="9" hidden="1"/>
    <cellStyle name="Hipervínculo visitado" xfId="1865" builtinId="9" hidden="1"/>
    <cellStyle name="Hipervínculo visitado" xfId="1867" builtinId="9" hidden="1"/>
    <cellStyle name="Hipervínculo visitado" xfId="1869" builtinId="9" hidden="1"/>
    <cellStyle name="Hipervínculo visitado" xfId="1871" builtinId="9" hidden="1"/>
    <cellStyle name="Hipervínculo visitado" xfId="1873" builtinId="9" hidden="1"/>
    <cellStyle name="Hipervínculo visitado" xfId="1875" builtinId="9" hidden="1"/>
    <cellStyle name="Hipervínculo visitado" xfId="1877" builtinId="9" hidden="1"/>
    <cellStyle name="Hipervínculo visitado" xfId="1879" builtinId="9" hidden="1"/>
    <cellStyle name="Hipervínculo visitado" xfId="1881" builtinId="9" hidden="1"/>
    <cellStyle name="Hipervínculo visitado" xfId="1883" builtinId="9" hidden="1"/>
    <cellStyle name="Hipervínculo visitado" xfId="1885" builtinId="9" hidden="1"/>
    <cellStyle name="Hipervínculo visitado" xfId="1887" builtinId="9" hidden="1"/>
    <cellStyle name="Hipervínculo visitado" xfId="1889" builtinId="9" hidden="1"/>
    <cellStyle name="Hipervínculo visitado" xfId="1891" builtinId="9" hidden="1"/>
    <cellStyle name="Hipervínculo visitado" xfId="1893" builtinId="9" hidden="1"/>
    <cellStyle name="Hipervínculo visitado" xfId="1895" builtinId="9" hidden="1"/>
    <cellStyle name="Hipervínculo visitado" xfId="1897" builtinId="9" hidden="1"/>
    <cellStyle name="Hipervínculo visitado" xfId="1899" builtinId="9" hidden="1"/>
    <cellStyle name="Hipervínculo visitado" xfId="1901" builtinId="9" hidden="1"/>
    <cellStyle name="Hipervínculo visitado" xfId="1903" builtinId="9" hidden="1"/>
    <cellStyle name="Hipervínculo visitado" xfId="1905" builtinId="9" hidden="1"/>
    <cellStyle name="Hipervínculo visitado" xfId="1907" builtinId="9" hidden="1"/>
    <cellStyle name="Hipervínculo visitado" xfId="1909" builtinId="9" hidden="1"/>
    <cellStyle name="Hipervínculo visitado" xfId="1911" builtinId="9" hidden="1"/>
    <cellStyle name="Hipervínculo visitado" xfId="1913" builtinId="9" hidden="1"/>
    <cellStyle name="Hipervínculo visitado" xfId="1915" builtinId="9" hidden="1"/>
    <cellStyle name="Hipervínculo visitado" xfId="1917" builtinId="9" hidden="1"/>
    <cellStyle name="Hipervínculo visitado" xfId="1919" builtinId="9" hidden="1"/>
    <cellStyle name="Hipervínculo visitado" xfId="1921" builtinId="9" hidden="1"/>
    <cellStyle name="Hipervínculo visitado" xfId="1923" builtinId="9" hidden="1"/>
    <cellStyle name="Hipervínculo visitado" xfId="1925" builtinId="9" hidden="1"/>
    <cellStyle name="Hipervínculo visitado" xfId="1927" builtinId="9" hidden="1"/>
    <cellStyle name="Hipervínculo visitado" xfId="1929" builtinId="9" hidden="1"/>
    <cellStyle name="Hipervínculo visitado" xfId="1931" builtinId="9" hidden="1"/>
    <cellStyle name="Hipervínculo visitado" xfId="1933" builtinId="9" hidden="1"/>
    <cellStyle name="Hipervínculo visitado" xfId="1935" builtinId="9" hidden="1"/>
    <cellStyle name="Hipervínculo visitado" xfId="1937" builtinId="9" hidden="1"/>
    <cellStyle name="Hipervínculo visitado" xfId="1939" builtinId="9" hidden="1"/>
    <cellStyle name="Hipervínculo visitado" xfId="1941" builtinId="9" hidden="1"/>
    <cellStyle name="Hipervínculo visitado" xfId="1943" builtinId="9" hidden="1"/>
    <cellStyle name="Hipervínculo visitado" xfId="1945" builtinId="9" hidden="1"/>
    <cellStyle name="Hipervínculo visitado" xfId="1947" builtinId="9" hidden="1"/>
    <cellStyle name="Hipervínculo visitado" xfId="1949" builtinId="9" hidden="1"/>
    <cellStyle name="Hipervínculo visitado" xfId="1951" builtinId="9" hidden="1"/>
    <cellStyle name="Hipervínculo visitado" xfId="1953" builtinId="9" hidden="1"/>
    <cellStyle name="Hipervínculo visitado" xfId="1955" builtinId="9" hidden="1"/>
    <cellStyle name="Hipervínculo visitado" xfId="1957" builtinId="9" hidden="1"/>
    <cellStyle name="Hipervínculo visitado" xfId="1959" builtinId="9" hidden="1"/>
    <cellStyle name="Hipervínculo visitado" xfId="1961" builtinId="9" hidden="1"/>
    <cellStyle name="Hipervínculo visitado" xfId="1963" builtinId="9" hidden="1"/>
    <cellStyle name="Hipervínculo visitado" xfId="1965" builtinId="9" hidden="1"/>
    <cellStyle name="Hipervínculo visitado" xfId="1967" builtinId="9" hidden="1"/>
    <cellStyle name="Hipervínculo visitado" xfId="1969" builtinId="9" hidden="1"/>
    <cellStyle name="Hipervínculo visitado" xfId="1971" builtinId="9" hidden="1"/>
    <cellStyle name="Hipervínculo visitado" xfId="1973" builtinId="9" hidden="1"/>
    <cellStyle name="Hipervínculo visitado" xfId="1975" builtinId="9" hidden="1"/>
    <cellStyle name="Hipervínculo visitado" xfId="1977" builtinId="9" hidden="1"/>
    <cellStyle name="Hipervínculo visitado" xfId="1979" builtinId="9" hidden="1"/>
    <cellStyle name="Hipervínculo visitado" xfId="1981" builtinId="9" hidden="1"/>
    <cellStyle name="Hipervínculo visitado" xfId="1983" builtinId="9" hidden="1"/>
    <cellStyle name="Hipervínculo visitado" xfId="1985" builtinId="9" hidden="1"/>
    <cellStyle name="Hipervínculo visitado" xfId="1987" builtinId="9" hidden="1"/>
    <cellStyle name="Hipervínculo visitado" xfId="1989" builtinId="9" hidden="1"/>
    <cellStyle name="Hipervínculo visitado" xfId="1991" builtinId="9" hidden="1"/>
    <cellStyle name="Hipervínculo visitado" xfId="1993" builtinId="9" hidden="1"/>
    <cellStyle name="Hipervínculo visitado" xfId="1995" builtinId="9" hidden="1"/>
    <cellStyle name="Hipervínculo visitado" xfId="1997" builtinId="9" hidden="1"/>
    <cellStyle name="Hipervínculo visitado" xfId="1999" builtinId="9" hidden="1"/>
    <cellStyle name="Hipervínculo visitado" xfId="2001" builtinId="9" hidden="1"/>
    <cellStyle name="Hipervínculo visitado" xfId="2003" builtinId="9" hidden="1"/>
    <cellStyle name="Hipervínculo visitado" xfId="2005" builtinId="9" hidden="1"/>
    <cellStyle name="Hipervínculo visitado" xfId="2007" builtinId="9" hidden="1"/>
    <cellStyle name="Hipervínculo visitado" xfId="2009" builtinId="9" hidden="1"/>
    <cellStyle name="Hipervínculo visitado" xfId="2011" builtinId="9" hidden="1"/>
    <cellStyle name="Hipervínculo visitado" xfId="2013" builtinId="9" hidden="1"/>
    <cellStyle name="Hipervínculo visitado" xfId="2015" builtinId="9" hidden="1"/>
    <cellStyle name="Hipervínculo visitado" xfId="2017" builtinId="9" hidden="1"/>
    <cellStyle name="Hipervínculo visitado" xfId="2019" builtinId="9" hidden="1"/>
    <cellStyle name="Hipervínculo visitado" xfId="2021" builtinId="9" hidden="1"/>
    <cellStyle name="Hipervínculo visitado" xfId="2023" builtinId="9" hidden="1"/>
    <cellStyle name="Hipervínculo visitado" xfId="2025" builtinId="9" hidden="1"/>
    <cellStyle name="Hipervínculo visitado" xfId="2027" builtinId="9" hidden="1"/>
    <cellStyle name="Hipervínculo visitado" xfId="2029" builtinId="9" hidden="1"/>
    <cellStyle name="Hipervínculo visitado" xfId="2031" builtinId="9" hidden="1"/>
    <cellStyle name="Hipervínculo visitado" xfId="2033" builtinId="9" hidden="1"/>
    <cellStyle name="Hipervínculo visitado" xfId="2035" builtinId="9" hidden="1"/>
    <cellStyle name="Hipervínculo visitado" xfId="2037" builtinId="9" hidden="1"/>
    <cellStyle name="Hipervínculo visitado" xfId="2039" builtinId="9" hidden="1"/>
    <cellStyle name="Hipervínculo visitado" xfId="2041" builtinId="9" hidden="1"/>
    <cellStyle name="Hipervínculo visitado" xfId="2043" builtinId="9" hidden="1"/>
    <cellStyle name="Hipervínculo visitado" xfId="2045" builtinId="9" hidden="1"/>
    <cellStyle name="Hipervínculo visitado" xfId="2047" builtinId="9" hidden="1"/>
    <cellStyle name="Hipervínculo visitado" xfId="2049" builtinId="9" hidden="1"/>
    <cellStyle name="Hipervínculo visitado" xfId="2051" builtinId="9" hidden="1"/>
    <cellStyle name="Hipervínculo visitado" xfId="2053" builtinId="9" hidden="1"/>
    <cellStyle name="Hipervínculo visitado" xfId="2055" builtinId="9" hidden="1"/>
    <cellStyle name="Hipervínculo visitado" xfId="2057" builtinId="9" hidden="1"/>
    <cellStyle name="Hipervínculo visitado" xfId="2059" builtinId="9" hidden="1"/>
    <cellStyle name="Hipervínculo visitado" xfId="2061" builtinId="9" hidden="1"/>
    <cellStyle name="Hipervínculo visitado" xfId="2063" builtinId="9" hidden="1"/>
    <cellStyle name="Hipervínculo visitado" xfId="2065" builtinId="9" hidden="1"/>
    <cellStyle name="Hipervínculo visitado" xfId="2067" builtinId="9" hidden="1"/>
    <cellStyle name="Hipervínculo visitado" xfId="2069" builtinId="9" hidden="1"/>
    <cellStyle name="Hipervínculo visitado" xfId="2071" builtinId="9" hidden="1"/>
    <cellStyle name="Hipervínculo visitado" xfId="2073" builtinId="9" hidden="1"/>
    <cellStyle name="Hipervínculo visitado" xfId="2075" builtinId="9" hidden="1"/>
    <cellStyle name="Hipervínculo visitado" xfId="2077" builtinId="9" hidden="1"/>
    <cellStyle name="Hipervínculo visitado" xfId="2079" builtinId="9" hidden="1"/>
    <cellStyle name="Hipervínculo visitado" xfId="2081" builtinId="9" hidden="1"/>
    <cellStyle name="Hipervínculo visitado" xfId="2083" builtinId="9" hidden="1"/>
    <cellStyle name="Hipervínculo visitado" xfId="2085" builtinId="9" hidden="1"/>
    <cellStyle name="Hipervínculo visitado" xfId="2087" builtinId="9" hidden="1"/>
    <cellStyle name="Hipervínculo visitado" xfId="2089" builtinId="9" hidden="1"/>
    <cellStyle name="Hipervínculo visitado" xfId="2091" builtinId="9" hidden="1"/>
    <cellStyle name="Hipervínculo visitado" xfId="2093" builtinId="9" hidden="1"/>
    <cellStyle name="Hipervínculo visitado" xfId="2095" builtinId="9" hidden="1"/>
    <cellStyle name="Hipervínculo visitado" xfId="2097" builtinId="9" hidden="1"/>
    <cellStyle name="Hipervínculo visitado" xfId="2099" builtinId="9" hidden="1"/>
    <cellStyle name="Hipervínculo visitado" xfId="2101" builtinId="9" hidden="1"/>
    <cellStyle name="Hipervínculo visitado" xfId="2103" builtinId="9" hidden="1"/>
    <cellStyle name="Hipervínculo visitado" xfId="2105" builtinId="9" hidden="1"/>
    <cellStyle name="Hipervínculo visitado" xfId="2107" builtinId="9" hidden="1"/>
    <cellStyle name="Hipervínculo visitado" xfId="2109" builtinId="9" hidden="1"/>
    <cellStyle name="Hipervínculo visitado" xfId="2111" builtinId="9" hidden="1"/>
    <cellStyle name="Hipervínculo visitado" xfId="2113" builtinId="9" hidden="1"/>
    <cellStyle name="Hipervínculo visitado" xfId="2115" builtinId="9" hidden="1"/>
    <cellStyle name="Hipervínculo visitado" xfId="2117" builtinId="9" hidden="1"/>
    <cellStyle name="Hipervínculo visitado" xfId="2119" builtinId="9" hidden="1"/>
    <cellStyle name="Hipervínculo visitado" xfId="2121" builtinId="9" hidden="1"/>
    <cellStyle name="Hipervínculo visitado" xfId="2123" builtinId="9" hidden="1"/>
    <cellStyle name="Hipervínculo visitado" xfId="2125" builtinId="9" hidden="1"/>
    <cellStyle name="Hipervínculo visitado" xfId="2127" builtinId="9" hidden="1"/>
    <cellStyle name="Hipervínculo visitado" xfId="2129" builtinId="9" hidden="1"/>
    <cellStyle name="Hipervínculo visitado" xfId="2131" builtinId="9" hidden="1"/>
    <cellStyle name="Hipervínculo visitado" xfId="2133" builtinId="9" hidden="1"/>
    <cellStyle name="Hipervínculo visitado" xfId="2135" builtinId="9" hidden="1"/>
    <cellStyle name="Hipervínculo visitado" xfId="2137" builtinId="9" hidden="1"/>
    <cellStyle name="Hipervínculo visitado" xfId="2139" builtinId="9" hidden="1"/>
    <cellStyle name="Hipervínculo visitado" xfId="2141" builtinId="9" hidden="1"/>
    <cellStyle name="Hipervínculo visitado" xfId="2143" builtinId="9" hidden="1"/>
    <cellStyle name="Hipervínculo visitado" xfId="2145" builtinId="9" hidden="1"/>
    <cellStyle name="Hipervínculo visitado" xfId="2147" builtinId="9" hidden="1"/>
    <cellStyle name="Hipervínculo visitado" xfId="2149" builtinId="9" hidden="1"/>
    <cellStyle name="Hipervínculo visitado" xfId="2151" builtinId="9" hidden="1"/>
    <cellStyle name="Hipervínculo visitado" xfId="2153" builtinId="9" hidden="1"/>
    <cellStyle name="Hipervínculo visitado" xfId="2155" builtinId="9" hidden="1"/>
    <cellStyle name="Hipervínculo visitado" xfId="2157" builtinId="9" hidden="1"/>
    <cellStyle name="Hipervínculo visitado" xfId="2159" builtinId="9" hidden="1"/>
    <cellStyle name="Hipervínculo visitado" xfId="2161" builtinId="9" hidden="1"/>
    <cellStyle name="Hipervínculo visitado" xfId="2163" builtinId="9" hidden="1"/>
    <cellStyle name="Hipervínculo visitado" xfId="2165" builtinId="9" hidden="1"/>
    <cellStyle name="Hipervínculo visitado" xfId="2167" builtinId="9" hidden="1"/>
    <cellStyle name="Hipervínculo visitado" xfId="2169" builtinId="9" hidden="1"/>
    <cellStyle name="Hipervínculo visitado" xfId="2171" builtinId="9" hidden="1"/>
    <cellStyle name="Hipervínculo visitado" xfId="2173" builtinId="9" hidden="1"/>
    <cellStyle name="Hipervínculo visitado" xfId="2175" builtinId="9" hidden="1"/>
    <cellStyle name="Hipervínculo visitado" xfId="2177" builtinId="9" hidden="1"/>
    <cellStyle name="Hipervínculo visitado" xfId="2179" builtinId="9" hidden="1"/>
    <cellStyle name="Hipervínculo visitado" xfId="2181" builtinId="9" hidden="1"/>
    <cellStyle name="Hipervínculo visitado" xfId="2183" builtinId="9" hidden="1"/>
    <cellStyle name="Hipervínculo visitado" xfId="2185" builtinId="9" hidden="1"/>
    <cellStyle name="Hipervínculo visitado" xfId="2187" builtinId="9" hidden="1"/>
    <cellStyle name="Hipervínculo visitado" xfId="2189" builtinId="9" hidden="1"/>
    <cellStyle name="Hipervínculo visitado" xfId="2191" builtinId="9" hidden="1"/>
    <cellStyle name="Hipervínculo visitado" xfId="2193" builtinId="9" hidden="1"/>
    <cellStyle name="Hipervínculo visitado" xfId="2195" builtinId="9" hidden="1"/>
    <cellStyle name="Hipervínculo visitado" xfId="2197" builtinId="9" hidden="1"/>
    <cellStyle name="Hipervínculo visitado" xfId="2199" builtinId="9" hidden="1"/>
    <cellStyle name="Hipervínculo visitado" xfId="2201" builtinId="9" hidden="1"/>
    <cellStyle name="Hipervínculo visitado" xfId="2203" builtinId="9" hidden="1"/>
    <cellStyle name="Hipervínculo visitado" xfId="2205" builtinId="9" hidden="1"/>
    <cellStyle name="Hipervínculo visitado" xfId="2207" builtinId="9" hidden="1"/>
    <cellStyle name="Hipervínculo visitado" xfId="2209" builtinId="9" hidden="1"/>
    <cellStyle name="Hipervínculo visitado" xfId="2211" builtinId="9" hidden="1"/>
    <cellStyle name="Hipervínculo visitado" xfId="2213" builtinId="9" hidden="1"/>
    <cellStyle name="Hipervínculo visitado" xfId="2215" builtinId="9" hidden="1"/>
    <cellStyle name="Hipervínculo visitado" xfId="2217" builtinId="9" hidden="1"/>
    <cellStyle name="Hipervínculo visitado" xfId="2219" builtinId="9" hidden="1"/>
    <cellStyle name="Hipervínculo visitado" xfId="2221" builtinId="9" hidden="1"/>
    <cellStyle name="Hipervínculo visitado" xfId="2223" builtinId="9" hidden="1"/>
    <cellStyle name="Hipervínculo visitado" xfId="2225" builtinId="9" hidden="1"/>
    <cellStyle name="Hipervínculo visitado" xfId="2227" builtinId="9" hidden="1"/>
    <cellStyle name="Hipervínculo visitado" xfId="2229" builtinId="9" hidden="1"/>
    <cellStyle name="Hipervínculo visitado" xfId="2231" builtinId="9" hidden="1"/>
    <cellStyle name="Hipervínculo visitado" xfId="2233" builtinId="9" hidden="1"/>
    <cellStyle name="Hipervínculo visitado" xfId="2235" builtinId="9" hidden="1"/>
    <cellStyle name="Hipervínculo visitado" xfId="2237" builtinId="9" hidden="1"/>
    <cellStyle name="Hipervínculo visitado" xfId="2239" builtinId="9" hidden="1"/>
    <cellStyle name="Hipervínculo visitado" xfId="2241" builtinId="9" hidden="1"/>
    <cellStyle name="Hipervínculo visitado" xfId="2243" builtinId="9" hidden="1"/>
    <cellStyle name="Hipervínculo visitado" xfId="2245" builtinId="9" hidden="1"/>
    <cellStyle name="Hipervínculo visitado" xfId="2247" builtinId="9" hidden="1"/>
    <cellStyle name="Hipervínculo visitado" xfId="2249" builtinId="9" hidden="1"/>
    <cellStyle name="Hipervínculo visitado" xfId="2251" builtinId="9" hidden="1"/>
    <cellStyle name="Hipervínculo visitado" xfId="2253" builtinId="9" hidden="1"/>
    <cellStyle name="Hipervínculo visitado" xfId="2255" builtinId="9" hidden="1"/>
    <cellStyle name="Hipervínculo visitado" xfId="2257" builtinId="9" hidden="1"/>
    <cellStyle name="Hipervínculo visitado" xfId="2259" builtinId="9" hidden="1"/>
    <cellStyle name="Hipervínculo visitado" xfId="2261" builtinId="9" hidden="1"/>
    <cellStyle name="Hipervínculo visitado" xfId="2263" builtinId="9" hidden="1"/>
    <cellStyle name="Hipervínculo visitado" xfId="2265" builtinId="9" hidden="1"/>
    <cellStyle name="Hipervínculo visitado" xfId="2267" builtinId="9" hidden="1"/>
    <cellStyle name="Hipervínculo visitado" xfId="2269" builtinId="9" hidden="1"/>
    <cellStyle name="Hipervínculo visitado" xfId="2271" builtinId="9" hidden="1"/>
    <cellStyle name="Hipervínculo visitado" xfId="2273" builtinId="9" hidden="1"/>
    <cellStyle name="Hipervínculo visitado" xfId="2275" builtinId="9" hidden="1"/>
    <cellStyle name="Hipervínculo visitado" xfId="2277" builtinId="9" hidden="1"/>
    <cellStyle name="Hipervínculo visitado" xfId="2279" builtinId="9" hidden="1"/>
    <cellStyle name="Hipervínculo visitado" xfId="2281" builtinId="9" hidden="1"/>
    <cellStyle name="Hipervínculo visitado" xfId="2283" builtinId="9" hidden="1"/>
    <cellStyle name="Hipervínculo visitado" xfId="2285" builtinId="9" hidden="1"/>
    <cellStyle name="Hipervínculo visitado" xfId="2287" builtinId="9" hidden="1"/>
    <cellStyle name="Hipervínculo visitado" xfId="2289" builtinId="9" hidden="1"/>
    <cellStyle name="Hipervínculo visitado" xfId="2291" builtinId="9" hidden="1"/>
    <cellStyle name="Hipervínculo visitado" xfId="2293" builtinId="9" hidden="1"/>
    <cellStyle name="Hipervínculo visitado" xfId="2295" builtinId="9" hidden="1"/>
    <cellStyle name="Hipervínculo visitado" xfId="2297" builtinId="9" hidden="1"/>
    <cellStyle name="Hipervínculo visitado" xfId="2299" builtinId="9" hidden="1"/>
    <cellStyle name="Hipervínculo visitado" xfId="2301" builtinId="9" hidden="1"/>
    <cellStyle name="Hipervínculo visitado" xfId="2303" builtinId="9" hidden="1"/>
    <cellStyle name="Hipervínculo visitado" xfId="2305" builtinId="9" hidden="1"/>
    <cellStyle name="Hipervínculo visitado" xfId="2307" builtinId="9" hidden="1"/>
    <cellStyle name="Hipervínculo visitado" xfId="2309" builtinId="9" hidden="1"/>
    <cellStyle name="Hipervínculo visitado" xfId="2311" builtinId="9" hidden="1"/>
    <cellStyle name="Hipervínculo visitado" xfId="2313" builtinId="9" hidden="1"/>
    <cellStyle name="Hipervínculo visitado" xfId="2315" builtinId="9" hidden="1"/>
    <cellStyle name="Hipervínculo visitado" xfId="2317" builtinId="9" hidden="1"/>
    <cellStyle name="Hipervínculo visitado" xfId="2319" builtinId="9" hidden="1"/>
    <cellStyle name="Hipervínculo visitado" xfId="2321" builtinId="9" hidden="1"/>
    <cellStyle name="Hipervínculo visitado" xfId="2323" builtinId="9" hidden="1"/>
    <cellStyle name="Hipervínculo visitado" xfId="2325" builtinId="9" hidden="1"/>
    <cellStyle name="Hipervínculo visitado" xfId="2327" builtinId="9" hidden="1"/>
    <cellStyle name="Hipervínculo visitado" xfId="2329" builtinId="9" hidden="1"/>
    <cellStyle name="Hipervínculo visitado" xfId="2331" builtinId="9" hidden="1"/>
    <cellStyle name="Hipervínculo visitado" xfId="2333" builtinId="9" hidden="1"/>
    <cellStyle name="Hipervínculo visitado" xfId="2335" builtinId="9" hidden="1"/>
    <cellStyle name="Hipervínculo visitado" xfId="2337" builtinId="9" hidden="1"/>
    <cellStyle name="Hipervínculo visitado" xfId="2339" builtinId="9" hidden="1"/>
    <cellStyle name="Hipervínculo visitado" xfId="2341" builtinId="9" hidden="1"/>
    <cellStyle name="Hipervínculo visitado" xfId="2343" builtinId="9" hidden="1"/>
    <cellStyle name="Hipervínculo visitado" xfId="2345" builtinId="9" hidden="1"/>
    <cellStyle name="Hipervínculo visitado" xfId="2347" builtinId="9" hidden="1"/>
    <cellStyle name="Hipervínculo visitado" xfId="2349" builtinId="9" hidden="1"/>
    <cellStyle name="Hipervínculo visitado" xfId="2351" builtinId="9" hidden="1"/>
    <cellStyle name="Hipervínculo visitado" xfId="2353" builtinId="9" hidden="1"/>
    <cellStyle name="Hipervínculo visitado" xfId="2355" builtinId="9" hidden="1"/>
    <cellStyle name="Hipervínculo visitado" xfId="2357" builtinId="9" hidden="1"/>
    <cellStyle name="Hipervínculo visitado" xfId="2359" builtinId="9" hidden="1"/>
    <cellStyle name="Hipervínculo visitado" xfId="2361" builtinId="9" hidden="1"/>
    <cellStyle name="Hipervínculo visitado" xfId="2363" builtinId="9" hidden="1"/>
    <cellStyle name="Hipervínculo visitado" xfId="2365" builtinId="9" hidden="1"/>
    <cellStyle name="Hipervínculo visitado" xfId="2367" builtinId="9" hidden="1"/>
    <cellStyle name="Hipervínculo visitado" xfId="2369" builtinId="9" hidden="1"/>
    <cellStyle name="Hipervínculo visitado" xfId="2371" builtinId="9" hidden="1"/>
    <cellStyle name="Hipervínculo visitado" xfId="2373" builtinId="9" hidden="1"/>
    <cellStyle name="Hipervínculo visitado" xfId="2375" builtinId="9" hidden="1"/>
    <cellStyle name="Hipervínculo visitado" xfId="2377" builtinId="9" hidden="1"/>
    <cellStyle name="Hipervínculo visitado" xfId="2379" builtinId="9" hidden="1"/>
    <cellStyle name="Hipervínculo visitado" xfId="2381" builtinId="9" hidden="1"/>
    <cellStyle name="Hipervínculo visitado" xfId="2383" builtinId="9" hidden="1"/>
    <cellStyle name="Hipervínculo visitado" xfId="2385" builtinId="9" hidden="1"/>
    <cellStyle name="Hipervínculo visitado" xfId="2387" builtinId="9" hidden="1"/>
    <cellStyle name="Hipervínculo visitado" xfId="2389" builtinId="9" hidden="1"/>
    <cellStyle name="Hipervínculo visitado" xfId="2391" builtinId="9" hidden="1"/>
    <cellStyle name="Hipervínculo visitado" xfId="2393" builtinId="9" hidden="1"/>
    <cellStyle name="Hipervínculo visitado" xfId="2395" builtinId="9" hidden="1"/>
    <cellStyle name="Hipervínculo visitado" xfId="2397" builtinId="9" hidden="1"/>
    <cellStyle name="Hipervínculo visitado" xfId="2399" builtinId="9" hidden="1"/>
    <cellStyle name="Hipervínculo visitado" xfId="2401" builtinId="9" hidden="1"/>
    <cellStyle name="Hipervínculo visitado" xfId="2403" builtinId="9" hidden="1"/>
    <cellStyle name="Hipervínculo visitado" xfId="2405" builtinId="9" hidden="1"/>
    <cellStyle name="Hipervínculo visitado" xfId="2407" builtinId="9" hidden="1"/>
    <cellStyle name="Hipervínculo visitado" xfId="2409" builtinId="9" hidden="1"/>
    <cellStyle name="Hipervínculo visitado" xfId="2411" builtinId="9" hidden="1"/>
    <cellStyle name="Hipervínculo visitado" xfId="2413" builtinId="9" hidden="1"/>
    <cellStyle name="Hipervínculo visitado" xfId="2415" builtinId="9" hidden="1"/>
    <cellStyle name="Hipervínculo visitado" xfId="2417" builtinId="9" hidden="1"/>
    <cellStyle name="Hipervínculo visitado" xfId="2419" builtinId="9" hidden="1"/>
    <cellStyle name="Hipervínculo visitado" xfId="2421" builtinId="9" hidden="1"/>
    <cellStyle name="Hipervínculo visitado" xfId="2423" builtinId="9" hidden="1"/>
    <cellStyle name="Hipervínculo visitado" xfId="2425" builtinId="9" hidden="1"/>
    <cellStyle name="Hipervínculo visitado" xfId="2427" builtinId="9" hidden="1"/>
    <cellStyle name="Hipervínculo visitado" xfId="2429" builtinId="9" hidden="1"/>
    <cellStyle name="Hipervínculo visitado" xfId="2431" builtinId="9" hidden="1"/>
    <cellStyle name="Hipervínculo visitado" xfId="2433" builtinId="9" hidden="1"/>
    <cellStyle name="Hipervínculo visitado" xfId="2435" builtinId="9" hidden="1"/>
    <cellStyle name="Hipervínculo visitado" xfId="2437" builtinId="9" hidden="1"/>
    <cellStyle name="Hipervínculo visitado" xfId="2439" builtinId="9" hidden="1"/>
    <cellStyle name="Hipervínculo visitado" xfId="2441" builtinId="9" hidden="1"/>
    <cellStyle name="Hipervínculo visitado" xfId="2443" builtinId="9" hidden="1"/>
    <cellStyle name="Hipervínculo visitado" xfId="2445" builtinId="9" hidden="1"/>
    <cellStyle name="Hipervínculo visitado" xfId="2447" builtinId="9" hidden="1"/>
    <cellStyle name="Hipervínculo visitado" xfId="2449" builtinId="9" hidden="1"/>
    <cellStyle name="Hipervínculo visitado" xfId="2451" builtinId="9" hidden="1"/>
    <cellStyle name="Hipervínculo visitado" xfId="2453" builtinId="9" hidden="1"/>
    <cellStyle name="Hipervínculo visitado" xfId="2455" builtinId="9" hidden="1"/>
    <cellStyle name="Hipervínculo visitado" xfId="2457" builtinId="9" hidden="1"/>
    <cellStyle name="Hipervínculo visitado" xfId="2459" builtinId="9" hidden="1"/>
    <cellStyle name="Hipervínculo visitado" xfId="2461" builtinId="9" hidden="1"/>
    <cellStyle name="Hipervínculo visitado" xfId="2463" builtinId="9" hidden="1"/>
    <cellStyle name="Hipervínculo visitado" xfId="2465" builtinId="9" hidden="1"/>
    <cellStyle name="Hipervínculo visitado" xfId="2467" builtinId="9" hidden="1"/>
    <cellStyle name="Hipervínculo visitado" xfId="2469" builtinId="9" hidden="1"/>
    <cellStyle name="Hipervínculo visitado" xfId="2471" builtinId="9" hidden="1"/>
    <cellStyle name="Hipervínculo visitado" xfId="2473" builtinId="9" hidden="1"/>
    <cellStyle name="Hipervínculo visitado" xfId="2475" builtinId="9" hidden="1"/>
    <cellStyle name="Hipervínculo visitado" xfId="2477" builtinId="9" hidden="1"/>
    <cellStyle name="Hipervínculo visitado" xfId="2479" builtinId="9" hidden="1"/>
    <cellStyle name="Hipervínculo visitado" xfId="2481" builtinId="9" hidden="1"/>
    <cellStyle name="Hipervínculo visitado" xfId="2483" builtinId="9" hidden="1"/>
    <cellStyle name="Hipervínculo visitado" xfId="2485" builtinId="9" hidden="1"/>
    <cellStyle name="Hipervínculo visitado" xfId="2487" builtinId="9" hidden="1"/>
    <cellStyle name="Hipervínculo visitado" xfId="2489" builtinId="9" hidden="1"/>
    <cellStyle name="Hipervínculo visitado" xfId="2491" builtinId="9" hidden="1"/>
    <cellStyle name="Hipervínculo visitado" xfId="2493" builtinId="9" hidden="1"/>
    <cellStyle name="Hipervínculo visitado" xfId="2495" builtinId="9" hidden="1"/>
    <cellStyle name="Hipervínculo visitado" xfId="2497" builtinId="9" hidden="1"/>
    <cellStyle name="Hipervínculo visitado" xfId="2499" builtinId="9" hidden="1"/>
    <cellStyle name="Hipervínculo visitado" xfId="2501" builtinId="9" hidden="1"/>
    <cellStyle name="Hipervínculo visitado" xfId="2503" builtinId="9" hidden="1"/>
    <cellStyle name="Hipervínculo visitado" xfId="2505" builtinId="9" hidden="1"/>
    <cellStyle name="Millares" xfId="91" builtinId="3"/>
    <cellStyle name="Millares [0]" xfId="1" builtinId="6"/>
    <cellStyle name="Normal" xfId="0" builtinId="0"/>
    <cellStyle name="Porcentaje" xfId="2" builtinId="5"/>
  </cellStyles>
  <dxfs count="2"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2.xml"/><Relationship Id="rId18" Type="http://schemas.openxmlformats.org/officeDocument/2006/relationships/chartsheet" Target="chartsheets/sheet7.xml"/><Relationship Id="rId26" Type="http://schemas.openxmlformats.org/officeDocument/2006/relationships/chartsheet" Target="chartsheets/sheet15.xml"/><Relationship Id="rId21" Type="http://schemas.openxmlformats.org/officeDocument/2006/relationships/chartsheet" Target="chartsheets/sheet10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chartsheet" Target="chartsheets/sheet6.xml"/><Relationship Id="rId25" Type="http://schemas.openxmlformats.org/officeDocument/2006/relationships/chartsheet" Target="chartsheets/sheet14.xml"/><Relationship Id="rId33" Type="http://schemas.openxmlformats.org/officeDocument/2006/relationships/worksheet" Target="worksheets/sheet1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5.xml"/><Relationship Id="rId20" Type="http://schemas.openxmlformats.org/officeDocument/2006/relationships/chartsheet" Target="chartsheets/sheet9.xml"/><Relationship Id="rId29" Type="http://schemas.openxmlformats.org/officeDocument/2006/relationships/chartsheet" Target="chartsheets/sheet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13.xml"/><Relationship Id="rId32" Type="http://schemas.openxmlformats.org/officeDocument/2006/relationships/worksheet" Target="worksheets/sheet1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4.xml"/><Relationship Id="rId23" Type="http://schemas.openxmlformats.org/officeDocument/2006/relationships/chartsheet" Target="chartsheets/sheet12.xml"/><Relationship Id="rId28" Type="http://schemas.openxmlformats.org/officeDocument/2006/relationships/chartsheet" Target="chartsheets/sheet1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8.xml"/><Relationship Id="rId31" Type="http://schemas.openxmlformats.org/officeDocument/2006/relationships/chartsheet" Target="chartsheets/sheet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chartsheet" Target="chartsheets/sheet11.xml"/><Relationship Id="rId27" Type="http://schemas.openxmlformats.org/officeDocument/2006/relationships/chartsheet" Target="chartsheets/sheet16.xml"/><Relationship Id="rId30" Type="http://schemas.openxmlformats.org/officeDocument/2006/relationships/chartsheet" Target="chartsheets/sheet19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Flujo Caja</a:t>
            </a:r>
            <a:r>
              <a:rPr lang="en-US" baseline="0"/>
              <a:t> Libre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'Flujo Caja'!$B$28</c:f>
              <c:strCache>
                <c:ptCount val="1"/>
                <c:pt idx="0">
                  <c:v>FC Operativo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Caja'!$H$28:$V$28</c:f>
              <c:numCache>
                <c:formatCode>_(* #,##0_);_(* \(#,##0\);_(* "-"_);_(@_)</c:formatCode>
                <c:ptCount val="15"/>
                <c:pt idx="0">
                  <c:v>-9746.3947353760741</c:v>
                </c:pt>
                <c:pt idx="1">
                  <c:v>-9043.5371131879929</c:v>
                </c:pt>
                <c:pt idx="2">
                  <c:v>-907.47130253158844</c:v>
                </c:pt>
                <c:pt idx="3">
                  <c:v>-4596.5711627498458</c:v>
                </c:pt>
                <c:pt idx="4">
                  <c:v>1845.0442508634624</c:v>
                </c:pt>
                <c:pt idx="5">
                  <c:v>15492.186092485324</c:v>
                </c:pt>
                <c:pt idx="6">
                  <c:v>18048.374428755222</c:v>
                </c:pt>
                <c:pt idx="7">
                  <c:v>16038.543852079447</c:v>
                </c:pt>
                <c:pt idx="8">
                  <c:v>17743.803184167577</c:v>
                </c:pt>
                <c:pt idx="9">
                  <c:v>19357.472831189469</c:v>
                </c:pt>
                <c:pt idx="10">
                  <c:v>21985.865866271521</c:v>
                </c:pt>
                <c:pt idx="11">
                  <c:v>47918.772925161727</c:v>
                </c:pt>
                <c:pt idx="12">
                  <c:v>30259.114595370396</c:v>
                </c:pt>
                <c:pt idx="13">
                  <c:v>25912.138524372869</c:v>
                </c:pt>
                <c:pt idx="14">
                  <c:v>26766.979577432478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384E-BC68-0946A6436F2F}"/>
            </c:ext>
          </c:extLst>
        </c:ser>
        <c:ser>
          <c:idx val="1"/>
          <c:order val="1"/>
          <c:tx>
            <c:strRef>
              <c:f>'Flujo Caja'!$B$35</c:f>
              <c:strCache>
                <c:ptCount val="1"/>
                <c:pt idx="0">
                  <c:v>Flujo Caja Inversión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Caja'!$H$35:$V$35</c:f>
              <c:numCache>
                <c:formatCode>_(* #,##0_);_(* \(#,##0\);_(* "-"_);_(@_)</c:formatCode>
                <c:ptCount val="15"/>
                <c:pt idx="0">
                  <c:v>-3712</c:v>
                </c:pt>
                <c:pt idx="1">
                  <c:v>-847.65844773499975</c:v>
                </c:pt>
                <c:pt idx="2">
                  <c:v>-6022.3488000000007</c:v>
                </c:pt>
                <c:pt idx="3">
                  <c:v>-3463.242752000001</c:v>
                </c:pt>
                <c:pt idx="4">
                  <c:v>-2801.7724620800018</c:v>
                </c:pt>
                <c:pt idx="5">
                  <c:v>-3171.0499864576022</c:v>
                </c:pt>
                <c:pt idx="6">
                  <c:v>-3371.3795933143056</c:v>
                </c:pt>
                <c:pt idx="7">
                  <c:v>-3506.2347770468778</c:v>
                </c:pt>
                <c:pt idx="8">
                  <c:v>-3646.4841681287526</c:v>
                </c:pt>
                <c:pt idx="9">
                  <c:v>-2020.8969089595048</c:v>
                </c:pt>
                <c:pt idx="10">
                  <c:v>4870.1018586038454</c:v>
                </c:pt>
                <c:pt idx="11">
                  <c:v>6187.9154825418282</c:v>
                </c:pt>
                <c:pt idx="12">
                  <c:v>-1725.8065604377152</c:v>
                </c:pt>
                <c:pt idx="13">
                  <c:v>-1794.8388228552212</c:v>
                </c:pt>
                <c:pt idx="14">
                  <c:v>-8332.3394122927602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9-384E-BC68-0946A6436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95673864"/>
        <c:axId val="2095677160"/>
      </c:barChart>
      <c:lineChart>
        <c:grouping val="standard"/>
        <c:varyColors val="0"/>
        <c:ser>
          <c:idx val="2"/>
          <c:order val="2"/>
          <c:tx>
            <c:strRef>
              <c:f>'Flujo Caja'!$B$38</c:f>
              <c:strCache>
                <c:ptCount val="1"/>
                <c:pt idx="0">
                  <c:v>Flujo caja Libre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Caja'!$H$38:$V$38</c:f>
              <c:numCache>
                <c:formatCode>_(* #,##0_);_(* \(#,##0\);_(* "-"_);_(@_)</c:formatCode>
                <c:ptCount val="15"/>
                <c:pt idx="0">
                  <c:v>-13458.394735376074</c:v>
                </c:pt>
                <c:pt idx="1">
                  <c:v>-9891.1955609229917</c:v>
                </c:pt>
                <c:pt idx="2">
                  <c:v>-6929.8201025315893</c:v>
                </c:pt>
                <c:pt idx="3">
                  <c:v>-8059.8139147498468</c:v>
                </c:pt>
                <c:pt idx="4">
                  <c:v>-956.72821121653942</c:v>
                </c:pt>
                <c:pt idx="5">
                  <c:v>12321.136106027723</c:v>
                </c:pt>
                <c:pt idx="6">
                  <c:v>14676.994835440917</c:v>
                </c:pt>
                <c:pt idx="7">
                  <c:v>12532.309075032568</c:v>
                </c:pt>
                <c:pt idx="8">
                  <c:v>14097.319016038824</c:v>
                </c:pt>
                <c:pt idx="9">
                  <c:v>17336.575922229964</c:v>
                </c:pt>
                <c:pt idx="10">
                  <c:v>26855.967724875365</c:v>
                </c:pt>
                <c:pt idx="11">
                  <c:v>54106.688407703557</c:v>
                </c:pt>
                <c:pt idx="12">
                  <c:v>28533.308034932681</c:v>
                </c:pt>
                <c:pt idx="13">
                  <c:v>24117.299701517648</c:v>
                </c:pt>
                <c:pt idx="14">
                  <c:v>18434.640165139717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39-384E-BC68-0946A6436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673864"/>
        <c:axId val="2095677160"/>
      </c:lineChart>
      <c:catAx>
        <c:axId val="209567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677160"/>
        <c:crosses val="autoZero"/>
        <c:auto val="1"/>
        <c:lblAlgn val="ctr"/>
        <c:lblOffset val="100"/>
        <c:noMultiLvlLbl val="0"/>
      </c:catAx>
      <c:valAx>
        <c:axId val="209567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673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Flujo de Caja antes de 1116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'Flujo Caja'!$B$38</c:f>
              <c:strCache>
                <c:ptCount val="1"/>
                <c:pt idx="0">
                  <c:v>Flujo caja Libre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Caja'!$H$38:$V$38</c:f>
              <c:numCache>
                <c:formatCode>_(* #,##0_);_(* \(#,##0\);_(* "-"_);_(@_)</c:formatCode>
                <c:ptCount val="15"/>
                <c:pt idx="0">
                  <c:v>-13458.394735376074</c:v>
                </c:pt>
                <c:pt idx="1">
                  <c:v>-9891.1955609229917</c:v>
                </c:pt>
                <c:pt idx="2">
                  <c:v>-6929.8201025315893</c:v>
                </c:pt>
                <c:pt idx="3">
                  <c:v>-8059.8139147498468</c:v>
                </c:pt>
                <c:pt idx="4">
                  <c:v>-956.72821121653942</c:v>
                </c:pt>
                <c:pt idx="5">
                  <c:v>12321.136106027723</c:v>
                </c:pt>
                <c:pt idx="6">
                  <c:v>14676.994835440917</c:v>
                </c:pt>
                <c:pt idx="7">
                  <c:v>12532.309075032568</c:v>
                </c:pt>
                <c:pt idx="8">
                  <c:v>14097.319016038824</c:v>
                </c:pt>
                <c:pt idx="9">
                  <c:v>17336.575922229964</c:v>
                </c:pt>
                <c:pt idx="10">
                  <c:v>26855.967724875365</c:v>
                </c:pt>
                <c:pt idx="11">
                  <c:v>54106.688407703557</c:v>
                </c:pt>
                <c:pt idx="12">
                  <c:v>28533.308034932681</c:v>
                </c:pt>
                <c:pt idx="13">
                  <c:v>24117.299701517648</c:v>
                </c:pt>
                <c:pt idx="14">
                  <c:v>18434.640165139717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9-3F4F-B79E-3D92A8878642}"/>
            </c:ext>
          </c:extLst>
        </c:ser>
        <c:ser>
          <c:idx val="1"/>
          <c:order val="1"/>
          <c:tx>
            <c:strRef>
              <c:f>'Flujo Caja'!$B$41</c:f>
              <c:strCache>
                <c:ptCount val="1"/>
                <c:pt idx="0">
                  <c:v>FC Recuperación Cajas Atrapadas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Caja'!$H$41:$V$41</c:f>
              <c:numCache>
                <c:formatCode>_(* #,##0_);_(* \(#,##0\);_(* "-"_);_(@_)</c:formatCode>
                <c:ptCount val="15"/>
                <c:pt idx="0">
                  <c:v>2825.0695449999998</c:v>
                </c:pt>
                <c:pt idx="1">
                  <c:v>260.77101600000003</c:v>
                </c:pt>
                <c:pt idx="2">
                  <c:v>7160.66597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29-3F4F-B79E-3D92A8878642}"/>
            </c:ext>
          </c:extLst>
        </c:ser>
        <c:ser>
          <c:idx val="2"/>
          <c:order val="2"/>
          <c:tx>
            <c:strRef>
              <c:f>'Flujo Caja'!$B$44</c:f>
              <c:strCache>
                <c:ptCount val="1"/>
                <c:pt idx="0">
                  <c:v>FC Venta Activos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Caja'!$H$44:$V$44</c:f>
              <c:numCache>
                <c:formatCode>_(* #,##0_);_(* \(#,##0\);_(* "-"_);_(@_)</c:formatCode>
                <c:ptCount val="15"/>
                <c:pt idx="0">
                  <c:v>40363.349136388497</c:v>
                </c:pt>
                <c:pt idx="1">
                  <c:v>34640.707915921499</c:v>
                </c:pt>
                <c:pt idx="2">
                  <c:v>0</c:v>
                </c:pt>
                <c:pt idx="3">
                  <c:v>14690.065288129997</c:v>
                </c:pt>
                <c:pt idx="4">
                  <c:v>2912.4433333333336</c:v>
                </c:pt>
                <c:pt idx="5">
                  <c:v>2591.876666666667</c:v>
                </c:pt>
                <c:pt idx="6">
                  <c:v>3233.01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9-3F4F-B79E-3D92A8878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95739544"/>
        <c:axId val="2095743176"/>
      </c:barChart>
      <c:lineChart>
        <c:grouping val="standard"/>
        <c:varyColors val="0"/>
        <c:ser>
          <c:idx val="3"/>
          <c:order val="3"/>
          <c:tx>
            <c:strRef>
              <c:f>'Flujo Caja'!$B$47</c:f>
              <c:strCache>
                <c:ptCount val="1"/>
                <c:pt idx="0">
                  <c:v>FC AIA total sin 1116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'Flujo Caja'!$H$47:$V$47</c:f>
              <c:numCache>
                <c:formatCode>_(* #,##0_);_(* \(#,##0\);_(* "-"_);_(@_)</c:formatCode>
                <c:ptCount val="15"/>
                <c:pt idx="0">
                  <c:v>29730.023946012421</c:v>
                </c:pt>
                <c:pt idx="1">
                  <c:v>25010.283370998506</c:v>
                </c:pt>
                <c:pt idx="2">
                  <c:v>230.84586746841069</c:v>
                </c:pt>
                <c:pt idx="3">
                  <c:v>6630.2513733801507</c:v>
                </c:pt>
                <c:pt idx="4">
                  <c:v>1955.7151221167942</c:v>
                </c:pt>
                <c:pt idx="5">
                  <c:v>14913.01277269439</c:v>
                </c:pt>
                <c:pt idx="6">
                  <c:v>17910.004835440915</c:v>
                </c:pt>
                <c:pt idx="7">
                  <c:v>12532.309075032568</c:v>
                </c:pt>
                <c:pt idx="8">
                  <c:v>14097.319016038824</c:v>
                </c:pt>
                <c:pt idx="9">
                  <c:v>17336.575922229964</c:v>
                </c:pt>
                <c:pt idx="10">
                  <c:v>26855.967724875365</c:v>
                </c:pt>
                <c:pt idx="11">
                  <c:v>54106.688407703557</c:v>
                </c:pt>
                <c:pt idx="12">
                  <c:v>28533.308034932681</c:v>
                </c:pt>
                <c:pt idx="13">
                  <c:v>24117.299701517648</c:v>
                </c:pt>
                <c:pt idx="14">
                  <c:v>18434.640165139717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29-3F4F-B79E-3D92A8878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39544"/>
        <c:axId val="2095743176"/>
      </c:lineChart>
      <c:catAx>
        <c:axId val="209573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743176"/>
        <c:crosses val="autoZero"/>
        <c:auto val="1"/>
        <c:lblAlgn val="ctr"/>
        <c:lblOffset val="100"/>
        <c:noMultiLvlLbl val="0"/>
      </c:catAx>
      <c:valAx>
        <c:axId val="209574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739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Flujo Caja pago Acuerdo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'Flujo Caja'!$B$47</c:f>
              <c:strCache>
                <c:ptCount val="1"/>
                <c:pt idx="0">
                  <c:v>FC AIA total sin 1116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Caja'!$H$47:$V$47</c:f>
              <c:numCache>
                <c:formatCode>_(* #,##0_);_(* \(#,##0\);_(* "-"_);_(@_)</c:formatCode>
                <c:ptCount val="15"/>
                <c:pt idx="0">
                  <c:v>29730.023946012421</c:v>
                </c:pt>
                <c:pt idx="1">
                  <c:v>25010.283370998506</c:v>
                </c:pt>
                <c:pt idx="2">
                  <c:v>230.84586746841069</c:v>
                </c:pt>
                <c:pt idx="3">
                  <c:v>6630.2513733801507</c:v>
                </c:pt>
                <c:pt idx="4">
                  <c:v>1955.7151221167942</c:v>
                </c:pt>
                <c:pt idx="5">
                  <c:v>14913.01277269439</c:v>
                </c:pt>
                <c:pt idx="6">
                  <c:v>17910.004835440915</c:v>
                </c:pt>
                <c:pt idx="7">
                  <c:v>12532.309075032568</c:v>
                </c:pt>
                <c:pt idx="8">
                  <c:v>14097.319016038824</c:v>
                </c:pt>
                <c:pt idx="9">
                  <c:v>17336.575922229964</c:v>
                </c:pt>
                <c:pt idx="10">
                  <c:v>26855.967724875365</c:v>
                </c:pt>
                <c:pt idx="11">
                  <c:v>54106.688407703557</c:v>
                </c:pt>
                <c:pt idx="12">
                  <c:v>28533.308034932681</c:v>
                </c:pt>
                <c:pt idx="13">
                  <c:v>24117.299701517648</c:v>
                </c:pt>
                <c:pt idx="14">
                  <c:v>18434.640165139717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B-214D-BC14-B38D3222B753}"/>
            </c:ext>
          </c:extLst>
        </c:ser>
        <c:ser>
          <c:idx val="1"/>
          <c:order val="1"/>
          <c:tx>
            <c:strRef>
              <c:f>'Flujo Caja'!$B$59</c:f>
              <c:strCache>
                <c:ptCount val="1"/>
                <c:pt idx="0">
                  <c:v>FC Ley 1116 (incluye pensiones)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Caja'!$H$59:$V$59</c:f>
              <c:numCache>
                <c:formatCode>_(* #,##0_);_(* \(#,##0\);_(* "-"_);_(@_)</c:formatCode>
                <c:ptCount val="15"/>
                <c:pt idx="0">
                  <c:v>-27227.532923753999</c:v>
                </c:pt>
                <c:pt idx="1">
                  <c:v>-26011.078975</c:v>
                </c:pt>
                <c:pt idx="2">
                  <c:v>-406</c:v>
                </c:pt>
                <c:pt idx="3">
                  <c:v>-7206</c:v>
                </c:pt>
                <c:pt idx="4">
                  <c:v>-2206</c:v>
                </c:pt>
                <c:pt idx="5">
                  <c:v>-12406</c:v>
                </c:pt>
                <c:pt idx="6">
                  <c:v>-17206</c:v>
                </c:pt>
                <c:pt idx="7">
                  <c:v>-14282.8</c:v>
                </c:pt>
                <c:pt idx="8">
                  <c:v>-9406</c:v>
                </c:pt>
                <c:pt idx="9">
                  <c:v>-17726.8</c:v>
                </c:pt>
                <c:pt idx="10">
                  <c:v>-24406</c:v>
                </c:pt>
                <c:pt idx="11">
                  <c:v>-62410.705815866007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B-214D-BC14-B38D3222B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95800008"/>
        <c:axId val="2095803304"/>
      </c:barChart>
      <c:lineChart>
        <c:grouping val="standard"/>
        <c:varyColors val="0"/>
        <c:ser>
          <c:idx val="3"/>
          <c:order val="2"/>
          <c:tx>
            <c:v>Caja final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Caja'!$H$64:$V$64</c:f>
              <c:numCache>
                <c:formatCode>_(* #,##0_);_(* \(#,##0\);_(* "-"_);_(@_)</c:formatCode>
                <c:ptCount val="15"/>
                <c:pt idx="0">
                  <c:v>2502.4910222584222</c:v>
                </c:pt>
                <c:pt idx="1">
                  <c:v>1501.695418256928</c:v>
                </c:pt>
                <c:pt idx="2">
                  <c:v>1326.5412857253386</c:v>
                </c:pt>
                <c:pt idx="3">
                  <c:v>750.79265910548929</c:v>
                </c:pt>
                <c:pt idx="4">
                  <c:v>500.50778122228348</c:v>
                </c:pt>
                <c:pt idx="5">
                  <c:v>3007.5205539166736</c:v>
                </c:pt>
                <c:pt idx="6">
                  <c:v>3711.5253893575891</c:v>
                </c:pt>
                <c:pt idx="7">
                  <c:v>1961.0344643901581</c:v>
                </c:pt>
                <c:pt idx="8">
                  <c:v>6652.353480428982</c:v>
                </c:pt>
                <c:pt idx="9">
                  <c:v>6262.1294026589467</c:v>
                </c:pt>
                <c:pt idx="10">
                  <c:v>8712.0971275343109</c:v>
                </c:pt>
                <c:pt idx="11">
                  <c:v>408.07971937186085</c:v>
                </c:pt>
                <c:pt idx="12">
                  <c:v>28941.387754304542</c:v>
                </c:pt>
                <c:pt idx="13">
                  <c:v>53058.68745582219</c:v>
                </c:pt>
                <c:pt idx="14">
                  <c:v>71493.327620961907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B-214D-BC14-B38D3222B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800008"/>
        <c:axId val="2095803304"/>
      </c:lineChart>
      <c:catAx>
        <c:axId val="209580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803304"/>
        <c:crosses val="autoZero"/>
        <c:auto val="1"/>
        <c:lblAlgn val="ctr"/>
        <c:lblOffset val="100"/>
        <c:noMultiLvlLbl val="0"/>
      </c:catAx>
      <c:valAx>
        <c:axId val="209580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800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FLUJO CAJA 1116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'Flujo Caja'!$B$124:$F$124</c:f>
              <c:strCache>
                <c:ptCount val="5"/>
                <c:pt idx="0">
                  <c:v> FC AIA Negocios Externamente Generados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'Flujo Caja'!$G$123:$AA$123</c:f>
              <c:numCache>
                <c:formatCode>_(* #,##0_);_(* \(#,##0\);_(* "-"_);_(@_)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'Flujo Caja'!$G$124:$AA$124</c:f>
              <c:numCache>
                <c:formatCode>_(* #,##0_);_(* \(#,##0\);_(* "-"_);_(@_)</c:formatCode>
                <c:ptCount val="20"/>
                <c:pt idx="0">
                  <c:v>4770.0169999999989</c:v>
                </c:pt>
                <c:pt idx="1">
                  <c:v>3385.7291200000009</c:v>
                </c:pt>
                <c:pt idx="2">
                  <c:v>9156.3056447999988</c:v>
                </c:pt>
                <c:pt idx="3">
                  <c:v>8377.729103231999</c:v>
                </c:pt>
                <c:pt idx="4">
                  <c:v>13238.971850209276</c:v>
                </c:pt>
                <c:pt idx="5">
                  <c:v>19020.328768377658</c:v>
                </c:pt>
                <c:pt idx="6">
                  <c:v>20323.864507162165</c:v>
                </c:pt>
                <c:pt idx="7">
                  <c:v>21719.31238675032</c:v>
                </c:pt>
                <c:pt idx="8">
                  <c:v>23213.263290494833</c:v>
                </c:pt>
                <c:pt idx="9">
                  <c:v>24812.785304147474</c:v>
                </c:pt>
                <c:pt idx="10">
                  <c:v>27035.381292288512</c:v>
                </c:pt>
                <c:pt idx="11">
                  <c:v>37828.019039185856</c:v>
                </c:pt>
                <c:pt idx="12">
                  <c:v>29753.030924313367</c:v>
                </c:pt>
                <c:pt idx="13">
                  <c:v>31814.538666380467</c:v>
                </c:pt>
                <c:pt idx="14">
                  <c:v>34022.361921223623</c:v>
                </c:pt>
                <c:pt idx="15">
                  <c:v>36387.032618636484</c:v>
                </c:pt>
                <c:pt idx="16">
                  <c:v>39682.67088469764</c:v>
                </c:pt>
                <c:pt idx="17">
                  <c:v>40837.978208753433</c:v>
                </c:pt>
                <c:pt idx="18">
                  <c:v>43686.053744060519</c:v>
                </c:pt>
                <c:pt idx="19">
                  <c:v>46737.054994281702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FF42-AC05-24AACE6B3D67}"/>
            </c:ext>
          </c:extLst>
        </c:ser>
        <c:ser>
          <c:idx val="1"/>
          <c:order val="1"/>
          <c:tx>
            <c:strRef>
              <c:f>'Flujo Caja'!$B$125:$F$125</c:f>
              <c:strCache>
                <c:ptCount val="5"/>
                <c:pt idx="0">
                  <c:v> FC AIA Negocios internamente Generados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'Flujo Caja'!$G$123:$AA$123</c:f>
              <c:numCache>
                <c:formatCode>_(* #,##0_);_(* \(#,##0\);_(* "-"_);_(@_)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'Flujo Caja'!$G$125:$AA$125</c:f>
              <c:numCache>
                <c:formatCode>_(* #,##0_);_(* \(#,##0\);_(* "-"_);_(@_)</c:formatCode>
                <c:ptCount val="20"/>
                <c:pt idx="0">
                  <c:v>1747.0416528711085</c:v>
                </c:pt>
                <c:pt idx="1">
                  <c:v>4877.2304821907228</c:v>
                </c:pt>
                <c:pt idx="2">
                  <c:v>8353.3460447268117</c:v>
                </c:pt>
                <c:pt idx="3">
                  <c:v>6159.4405199121993</c:v>
                </c:pt>
                <c:pt idx="4">
                  <c:v>9307.814115022089</c:v>
                </c:pt>
                <c:pt idx="5">
                  <c:v>18477.995529145679</c:v>
                </c:pt>
                <c:pt idx="6">
                  <c:v>22460.501550910474</c:v>
                </c:pt>
                <c:pt idx="7">
                  <c:v>27316.224897657648</c:v>
                </c:pt>
                <c:pt idx="8">
                  <c:v>31046.397759395637</c:v>
                </c:pt>
                <c:pt idx="9">
                  <c:v>34256.565961455126</c:v>
                </c:pt>
                <c:pt idx="10">
                  <c:v>37559.320941774728</c:v>
                </c:pt>
                <c:pt idx="11">
                  <c:v>53535.516190492206</c:v>
                </c:pt>
                <c:pt idx="12">
                  <c:v>45772.173186559507</c:v>
                </c:pt>
                <c:pt idx="13">
                  <c:v>41501.723287250359</c:v>
                </c:pt>
                <c:pt idx="14">
                  <c:v>42691.664272973314</c:v>
                </c:pt>
                <c:pt idx="15">
                  <c:v>44783.396122123304</c:v>
                </c:pt>
                <c:pt idx="16">
                  <c:v>37545.374119942222</c:v>
                </c:pt>
                <c:pt idx="17">
                  <c:v>52423.492870595583</c:v>
                </c:pt>
                <c:pt idx="18">
                  <c:v>57691.605542719408</c:v>
                </c:pt>
                <c:pt idx="19">
                  <c:v>52478.316053179769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FF42-AC05-24AACE6B3D67}"/>
            </c:ext>
          </c:extLst>
        </c:ser>
        <c:ser>
          <c:idx val="2"/>
          <c:order val="2"/>
          <c:tx>
            <c:strRef>
              <c:f>'Flujo Caja'!$B$126:$F$126</c:f>
              <c:strCache>
                <c:ptCount val="5"/>
                <c:pt idx="0">
                  <c:v> Gastos corporativos,no recurrentes, imptos + Días de Caja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'Flujo Caja'!$G$123:$AA$123</c:f>
              <c:numCache>
                <c:formatCode>_(* #,##0_);_(* \(#,##0\);_(* "-"_);_(@_)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'Flujo Caja'!$G$126:$AA$126</c:f>
              <c:numCache>
                <c:formatCode>_(* #,##0_);_(* \(#,##0\);_(* "-"_);_(@_)</c:formatCode>
                <c:ptCount val="20"/>
                <c:pt idx="0">
                  <c:v>-16263.453388247181</c:v>
                </c:pt>
                <c:pt idx="1">
                  <c:v>-17306.496715378718</c:v>
                </c:pt>
                <c:pt idx="2">
                  <c:v>-18417.122992058397</c:v>
                </c:pt>
                <c:pt idx="3">
                  <c:v>-19133.740785894042</c:v>
                </c:pt>
                <c:pt idx="4">
                  <c:v>-20701.741714367901</c:v>
                </c:pt>
                <c:pt idx="5">
                  <c:v>-22006.138205038013</c:v>
                </c:pt>
                <c:pt idx="6">
                  <c:v>-24735.991629317421</c:v>
                </c:pt>
                <c:pt idx="7">
                  <c:v>-32996.99343232852</c:v>
                </c:pt>
                <c:pt idx="8">
                  <c:v>-36515.857865722894</c:v>
                </c:pt>
                <c:pt idx="9">
                  <c:v>-39711.878434413127</c:v>
                </c:pt>
                <c:pt idx="10">
                  <c:v>-42608.836367791722</c:v>
                </c:pt>
                <c:pt idx="11">
                  <c:v>-43444.762304516335</c:v>
                </c:pt>
                <c:pt idx="12">
                  <c:v>-45266.089515502477</c:v>
                </c:pt>
                <c:pt idx="13">
                  <c:v>-47404.123429257961</c:v>
                </c:pt>
                <c:pt idx="14">
                  <c:v>-49947.046616764463</c:v>
                </c:pt>
                <c:pt idx="15">
                  <c:v>-52805.683565304265</c:v>
                </c:pt>
                <c:pt idx="16">
                  <c:v>-54849.283392503858</c:v>
                </c:pt>
                <c:pt idx="17">
                  <c:v>-58882.833858265396</c:v>
                </c:pt>
                <c:pt idx="18">
                  <c:v>-61816.645932090374</c:v>
                </c:pt>
                <c:pt idx="19">
                  <c:v>-62885.890749408194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FF42-AC05-24AACE6B3D67}"/>
            </c:ext>
          </c:extLst>
        </c:ser>
        <c:ser>
          <c:idx val="3"/>
          <c:order val="3"/>
          <c:tx>
            <c:strRef>
              <c:f>'Flujo Caja'!$B$127:$F$127</c:f>
              <c:strCache>
                <c:ptCount val="5"/>
                <c:pt idx="0">
                  <c:v> Flujo Caja Inversión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'Flujo Caja'!$G$123:$AA$123</c:f>
              <c:numCache>
                <c:formatCode>_(* #,##0_);_(* \(#,##0\);_(* "-"_);_(@_)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'Flujo Caja'!$G$127:$AA$127</c:f>
              <c:numCache>
                <c:formatCode>_(* #,##0_);_(* \(#,##0\);_(* "-"_);_(@_)</c:formatCode>
                <c:ptCount val="20"/>
                <c:pt idx="0">
                  <c:v>-3712</c:v>
                </c:pt>
                <c:pt idx="1">
                  <c:v>-847.65844773499975</c:v>
                </c:pt>
                <c:pt idx="2">
                  <c:v>-6022.3488000000007</c:v>
                </c:pt>
                <c:pt idx="3">
                  <c:v>-3463.242752000001</c:v>
                </c:pt>
                <c:pt idx="4">
                  <c:v>-2801.7724620800018</c:v>
                </c:pt>
                <c:pt idx="5">
                  <c:v>-3171.0499864576022</c:v>
                </c:pt>
                <c:pt idx="6">
                  <c:v>-3371.3795933143056</c:v>
                </c:pt>
                <c:pt idx="7">
                  <c:v>-3506.2347770468778</c:v>
                </c:pt>
                <c:pt idx="8">
                  <c:v>-3646.4841681287526</c:v>
                </c:pt>
                <c:pt idx="9">
                  <c:v>-2020.8969089595048</c:v>
                </c:pt>
                <c:pt idx="10">
                  <c:v>4870.1018586038454</c:v>
                </c:pt>
                <c:pt idx="11">
                  <c:v>6187.9154825418282</c:v>
                </c:pt>
                <c:pt idx="12">
                  <c:v>-1725.8065604377152</c:v>
                </c:pt>
                <c:pt idx="13">
                  <c:v>-1794.8388228552212</c:v>
                </c:pt>
                <c:pt idx="14">
                  <c:v>-8332.3394122927602</c:v>
                </c:pt>
                <c:pt idx="15">
                  <c:v>-3788.6425383783007</c:v>
                </c:pt>
                <c:pt idx="16">
                  <c:v>6162.2325037041655</c:v>
                </c:pt>
                <c:pt idx="17">
                  <c:v>237.77303393003058</c:v>
                </c:pt>
                <c:pt idx="18">
                  <c:v>-2183.6958631670059</c:v>
                </c:pt>
                <c:pt idx="19">
                  <c:v>-2271.0436976936853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88-FF42-AC05-24AACE6B3D67}"/>
            </c:ext>
          </c:extLst>
        </c:ser>
        <c:ser>
          <c:idx val="4"/>
          <c:order val="4"/>
          <c:tx>
            <c:strRef>
              <c:f>'Flujo Caja'!$B$128:$F$128</c:f>
              <c:strCache>
                <c:ptCount val="5"/>
                <c:pt idx="0">
                  <c:v> FC Recuperación Cajas Atrapadas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'Flujo Caja'!$G$123:$AA$123</c:f>
              <c:numCache>
                <c:formatCode>_(* #,##0_);_(* \(#,##0\);_(* "-"_);_(@_)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'Flujo Caja'!$G$128:$AA$128</c:f>
              <c:numCache>
                <c:formatCode>_(* #,##0_);_(* \(#,##0\);_(* "-"_);_(@_)</c:formatCode>
                <c:ptCount val="20"/>
                <c:pt idx="0">
                  <c:v>2825.0695449999998</c:v>
                </c:pt>
                <c:pt idx="1">
                  <c:v>260.77101600000003</c:v>
                </c:pt>
                <c:pt idx="2">
                  <c:v>7160.66597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88-FF42-AC05-24AACE6B3D67}"/>
            </c:ext>
          </c:extLst>
        </c:ser>
        <c:ser>
          <c:idx val="5"/>
          <c:order val="5"/>
          <c:tx>
            <c:strRef>
              <c:f>'Flujo Caja'!$B$129:$F$129</c:f>
              <c:strCache>
                <c:ptCount val="5"/>
                <c:pt idx="0">
                  <c:v> FC Venta Activos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'Flujo Caja'!$G$123:$AA$123</c:f>
              <c:numCache>
                <c:formatCode>_(* #,##0_);_(* \(#,##0\);_(* "-"_);_(@_)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'Flujo Caja'!$G$129:$AA$129</c:f>
              <c:numCache>
                <c:formatCode>_(* #,##0_);_(* \(#,##0\);_(* "-"_);_(@_)</c:formatCode>
                <c:ptCount val="20"/>
                <c:pt idx="0">
                  <c:v>40363.349136388497</c:v>
                </c:pt>
                <c:pt idx="1">
                  <c:v>34640.707915921499</c:v>
                </c:pt>
                <c:pt idx="2">
                  <c:v>0</c:v>
                </c:pt>
                <c:pt idx="3">
                  <c:v>14690.065288129997</c:v>
                </c:pt>
                <c:pt idx="4">
                  <c:v>2912.4433333333336</c:v>
                </c:pt>
                <c:pt idx="5">
                  <c:v>2591.876666666667</c:v>
                </c:pt>
                <c:pt idx="6">
                  <c:v>3233.01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88-FF42-AC05-24AACE6B3D67}"/>
            </c:ext>
          </c:extLst>
        </c:ser>
        <c:ser>
          <c:idx val="6"/>
          <c:order val="6"/>
          <c:tx>
            <c:strRef>
              <c:f>'Flujo Caja'!$B$130:$F$130</c:f>
              <c:strCache>
                <c:ptCount val="5"/>
                <c:pt idx="0">
                  <c:v> FC Ley 1116 (incluye pensiones)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'Flujo Caja'!$G$123:$AA$123</c:f>
              <c:numCache>
                <c:formatCode>_(* #,##0_);_(* \(#,##0\);_(* "-"_);_(@_)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'Flujo Caja'!$G$130:$AA$130</c:f>
              <c:numCache>
                <c:formatCode>_(* #,##0_);_(* \(#,##0\);_(* "-"_);_(@_)</c:formatCode>
                <c:ptCount val="20"/>
                <c:pt idx="0">
                  <c:v>-27227.532923753999</c:v>
                </c:pt>
                <c:pt idx="1">
                  <c:v>-26011.078975</c:v>
                </c:pt>
                <c:pt idx="2">
                  <c:v>-406</c:v>
                </c:pt>
                <c:pt idx="3">
                  <c:v>-7206</c:v>
                </c:pt>
                <c:pt idx="4">
                  <c:v>-2206</c:v>
                </c:pt>
                <c:pt idx="5">
                  <c:v>-12406</c:v>
                </c:pt>
                <c:pt idx="6">
                  <c:v>-17206</c:v>
                </c:pt>
                <c:pt idx="7">
                  <c:v>-14282.8</c:v>
                </c:pt>
                <c:pt idx="8">
                  <c:v>-9406</c:v>
                </c:pt>
                <c:pt idx="9">
                  <c:v>-17726.8</c:v>
                </c:pt>
                <c:pt idx="10">
                  <c:v>-24406</c:v>
                </c:pt>
                <c:pt idx="11">
                  <c:v>-62410.705815866007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88-FF42-AC05-24AACE6B3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95899384"/>
        <c:axId val="2095903080"/>
      </c:barChart>
      <c:lineChart>
        <c:grouping val="standard"/>
        <c:varyColors val="0"/>
        <c:ser>
          <c:idx val="7"/>
          <c:order val="7"/>
          <c:tx>
            <c:strRef>
              <c:f>'Flujo Caja'!$B$131:$F$131</c:f>
              <c:strCache>
                <c:ptCount val="5"/>
                <c:pt idx="0">
                  <c:v> Saldo caja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'Flujo Caja'!$G$123:$AA$123</c:f>
              <c:numCache>
                <c:formatCode>_(* #,##0_);_(* \(#,##0\);_(* "-"_);_(@_)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'Flujo Caja'!$G$131:$AA$131</c:f>
              <c:numCache>
                <c:formatCode>_(* #,##0_);_(* \(#,##0\);_(* "-"_);_(@_)</c:formatCode>
                <c:ptCount val="20"/>
                <c:pt idx="0">
                  <c:v>2502.4910222584222</c:v>
                </c:pt>
                <c:pt idx="1">
                  <c:v>1501.695418256928</c:v>
                </c:pt>
                <c:pt idx="2">
                  <c:v>1326.5412857253386</c:v>
                </c:pt>
                <c:pt idx="3">
                  <c:v>750.79265910548929</c:v>
                </c:pt>
                <c:pt idx="4">
                  <c:v>500.50778122228348</c:v>
                </c:pt>
                <c:pt idx="5">
                  <c:v>3007.5205539166736</c:v>
                </c:pt>
                <c:pt idx="6">
                  <c:v>3711.5253893575891</c:v>
                </c:pt>
                <c:pt idx="7">
                  <c:v>1961.0344643901581</c:v>
                </c:pt>
                <c:pt idx="8">
                  <c:v>6652.353480428982</c:v>
                </c:pt>
                <c:pt idx="9">
                  <c:v>6262.1294026589467</c:v>
                </c:pt>
                <c:pt idx="10">
                  <c:v>8712.0971275343109</c:v>
                </c:pt>
                <c:pt idx="11">
                  <c:v>408.07971937186085</c:v>
                </c:pt>
                <c:pt idx="12">
                  <c:v>28941.387754304542</c:v>
                </c:pt>
                <c:pt idx="13">
                  <c:v>53058.68745582219</c:v>
                </c:pt>
                <c:pt idx="14">
                  <c:v>71493.327620961907</c:v>
                </c:pt>
                <c:pt idx="15">
                  <c:v>96069.430258039123</c:v>
                </c:pt>
                <c:pt idx="16">
                  <c:v>124610.4243738793</c:v>
                </c:pt>
                <c:pt idx="17">
                  <c:v>159226.83462889295</c:v>
                </c:pt>
                <c:pt idx="18">
                  <c:v>196604.1521204155</c:v>
                </c:pt>
                <c:pt idx="19">
                  <c:v>230662.58872077509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88-FF42-AC05-24AACE6B3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899384"/>
        <c:axId val="2095903080"/>
      </c:lineChart>
      <c:catAx>
        <c:axId val="2095899384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903080"/>
        <c:crosses val="autoZero"/>
        <c:auto val="1"/>
        <c:lblAlgn val="ctr"/>
        <c:lblOffset val="100"/>
        <c:noMultiLvlLbl val="0"/>
      </c:catAx>
      <c:valAx>
        <c:axId val="2095903080"/>
        <c:scaling>
          <c:orientation val="minMax"/>
          <c:min val="-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89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2000"/>
              <a:t>SALDOS</a:t>
            </a:r>
            <a:r>
              <a:rPr lang="es-ES_tradnl" sz="2000" baseline="0"/>
              <a:t> DE DEUDA POR CLASE PARA BANCOS</a:t>
            </a:r>
            <a:endParaRPr lang="es-ES_tradnl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'Flujo Caja'!$B$110</c:f>
              <c:strCache>
                <c:ptCount val="1"/>
                <c:pt idx="0">
                  <c:v>Segunda Clase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Caja'!$G$110:$X$110</c:f>
              <c:numCache>
                <c:formatCode>#,##0</c:formatCode>
                <c:ptCount val="17"/>
                <c:pt idx="0">
                  <c:v>68706.655570318981</c:v>
                </c:pt>
                <c:pt idx="1">
                  <c:v>43101.576595318984</c:v>
                </c:pt>
                <c:pt idx="2">
                  <c:v>43101.576595318984</c:v>
                </c:pt>
                <c:pt idx="3">
                  <c:v>39101.576595318984</c:v>
                </c:pt>
                <c:pt idx="4">
                  <c:v>37601.576595318984</c:v>
                </c:pt>
                <c:pt idx="5">
                  <c:v>27601.576595318984</c:v>
                </c:pt>
                <c:pt idx="6">
                  <c:v>13601.576595318984</c:v>
                </c:pt>
                <c:pt idx="7">
                  <c:v>2037.5765953189839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C2-A24D-BFEA-76EE15905097}"/>
            </c:ext>
          </c:extLst>
        </c:ser>
        <c:ser>
          <c:idx val="3"/>
          <c:order val="1"/>
          <c:tx>
            <c:strRef>
              <c:f>'Flujo Caja'!$B$111</c:f>
              <c:strCache>
                <c:ptCount val="1"/>
                <c:pt idx="0">
                  <c:v>Intereses Segunda Clase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Caja'!$G$111:$X$111</c:f>
              <c:numCache>
                <c:formatCode>#,##0</c:formatCode>
                <c:ptCount val="17"/>
                <c:pt idx="0">
                  <c:v>15429.227647229589</c:v>
                </c:pt>
                <c:pt idx="1">
                  <c:v>18314.907181182985</c:v>
                </c:pt>
                <c:pt idx="2">
                  <c:v>20125.173398186384</c:v>
                </c:pt>
                <c:pt idx="3">
                  <c:v>21135.439615189782</c:v>
                </c:pt>
                <c:pt idx="4">
                  <c:v>22477.70583219318</c:v>
                </c:pt>
                <c:pt idx="5">
                  <c:v>22432.987815149769</c:v>
                </c:pt>
                <c:pt idx="6">
                  <c:v>21068.269798106357</c:v>
                </c:pt>
                <c:pt idx="7">
                  <c:v>19598.767547016134</c:v>
                </c:pt>
                <c:pt idx="8">
                  <c:v>19317.581976862115</c:v>
                </c:pt>
                <c:pt idx="9">
                  <c:v>19317.581976862115</c:v>
                </c:pt>
                <c:pt idx="10">
                  <c:v>19317.581976862115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C2-A24D-BFEA-76EE15905097}"/>
            </c:ext>
          </c:extLst>
        </c:ser>
        <c:ser>
          <c:idx val="8"/>
          <c:order val="2"/>
          <c:tx>
            <c:strRef>
              <c:f>'Flujo Caja'!$B$102</c:f>
              <c:strCache>
                <c:ptCount val="1"/>
                <c:pt idx="0">
                  <c:v>SALDO DEUDA BANCOS TOTAL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Caja'!$G$102:$X$102</c:f>
              <c:numCache>
                <c:formatCode>#,##0</c:formatCode>
                <c:ptCount val="17"/>
                <c:pt idx="0">
                  <c:v>89101.599166</c:v>
                </c:pt>
                <c:pt idx="1">
                  <c:v>63496.520191000003</c:v>
                </c:pt>
                <c:pt idx="2">
                  <c:v>63496.520191000003</c:v>
                </c:pt>
                <c:pt idx="3">
                  <c:v>59496.520191000003</c:v>
                </c:pt>
                <c:pt idx="4">
                  <c:v>57996.520191000003</c:v>
                </c:pt>
                <c:pt idx="5">
                  <c:v>47996.520191000003</c:v>
                </c:pt>
                <c:pt idx="6">
                  <c:v>33996.520191000003</c:v>
                </c:pt>
                <c:pt idx="7">
                  <c:v>22432.520191</c:v>
                </c:pt>
                <c:pt idx="8">
                  <c:v>20394.943595681016</c:v>
                </c:pt>
                <c:pt idx="9">
                  <c:v>20394.943595681016</c:v>
                </c:pt>
                <c:pt idx="10">
                  <c:v>8538.5841194342174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C2-A24D-BFEA-76EE15905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437960"/>
        <c:axId val="2096433816"/>
      </c:lineChart>
      <c:catAx>
        <c:axId val="209643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433816"/>
        <c:crosses val="autoZero"/>
        <c:auto val="1"/>
        <c:lblAlgn val="ctr"/>
        <c:lblOffset val="100"/>
        <c:noMultiLvlLbl val="0"/>
      </c:catAx>
      <c:valAx>
        <c:axId val="209643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43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2000"/>
              <a:t>SALDOS</a:t>
            </a:r>
            <a:r>
              <a:rPr lang="es-ES_tradnl" sz="2000" baseline="0"/>
              <a:t> DE DEUDA POR CLASE</a:t>
            </a:r>
            <a:endParaRPr lang="es-ES_tradnl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'Flujo Caja'!$B$108</c:f>
              <c:strCache>
                <c:ptCount val="1"/>
                <c:pt idx="0">
                  <c:v>Primera Clase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Caja'!$G$108:$X$108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A24D-BFEA-76EE15905097}"/>
            </c:ext>
          </c:extLst>
        </c:ser>
        <c:ser>
          <c:idx val="1"/>
          <c:order val="1"/>
          <c:tx>
            <c:strRef>
              <c:f>'Flujo Caja'!$B$109</c:f>
              <c:strCache>
                <c:ptCount val="1"/>
                <c:pt idx="0">
                  <c:v>Intereses Primera Clase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Caja'!$G$109:$X$109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2-A24D-BFEA-76EE15905097}"/>
            </c:ext>
          </c:extLst>
        </c:ser>
        <c:ser>
          <c:idx val="2"/>
          <c:order val="2"/>
          <c:tx>
            <c:strRef>
              <c:f>'Flujo Caja'!$B$110</c:f>
              <c:strCache>
                <c:ptCount val="1"/>
                <c:pt idx="0">
                  <c:v>Segunda Clase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Caja'!$G$110:$X$110</c:f>
              <c:numCache>
                <c:formatCode>#,##0</c:formatCode>
                <c:ptCount val="17"/>
                <c:pt idx="0">
                  <c:v>68706.655570318981</c:v>
                </c:pt>
                <c:pt idx="1">
                  <c:v>43101.576595318984</c:v>
                </c:pt>
                <c:pt idx="2">
                  <c:v>43101.576595318984</c:v>
                </c:pt>
                <c:pt idx="3">
                  <c:v>39101.576595318984</c:v>
                </c:pt>
                <c:pt idx="4">
                  <c:v>37601.576595318984</c:v>
                </c:pt>
                <c:pt idx="5">
                  <c:v>27601.576595318984</c:v>
                </c:pt>
                <c:pt idx="6">
                  <c:v>13601.576595318984</c:v>
                </c:pt>
                <c:pt idx="7">
                  <c:v>2037.5765953189839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C2-A24D-BFEA-76EE15905097}"/>
            </c:ext>
          </c:extLst>
        </c:ser>
        <c:ser>
          <c:idx val="3"/>
          <c:order val="3"/>
          <c:tx>
            <c:strRef>
              <c:f>'Flujo Caja'!$B$111</c:f>
              <c:strCache>
                <c:ptCount val="1"/>
                <c:pt idx="0">
                  <c:v>Intereses Segunda Clase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Caja'!$G$111:$X$111</c:f>
              <c:numCache>
                <c:formatCode>#,##0</c:formatCode>
                <c:ptCount val="17"/>
                <c:pt idx="0">
                  <c:v>15429.227647229589</c:v>
                </c:pt>
                <c:pt idx="1">
                  <c:v>18314.907181182985</c:v>
                </c:pt>
                <c:pt idx="2">
                  <c:v>20125.173398186384</c:v>
                </c:pt>
                <c:pt idx="3">
                  <c:v>21135.439615189782</c:v>
                </c:pt>
                <c:pt idx="4">
                  <c:v>22477.70583219318</c:v>
                </c:pt>
                <c:pt idx="5">
                  <c:v>22432.987815149769</c:v>
                </c:pt>
                <c:pt idx="6">
                  <c:v>21068.269798106357</c:v>
                </c:pt>
                <c:pt idx="7">
                  <c:v>19598.767547016134</c:v>
                </c:pt>
                <c:pt idx="8">
                  <c:v>19317.581976862115</c:v>
                </c:pt>
                <c:pt idx="9">
                  <c:v>19317.581976862115</c:v>
                </c:pt>
                <c:pt idx="10">
                  <c:v>19317.581976862115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C2-A24D-BFEA-76EE15905097}"/>
            </c:ext>
          </c:extLst>
        </c:ser>
        <c:ser>
          <c:idx val="4"/>
          <c:order val="4"/>
          <c:tx>
            <c:strRef>
              <c:f>'Flujo Caja'!$B$112</c:f>
              <c:strCache>
                <c:ptCount val="1"/>
                <c:pt idx="0">
                  <c:v>Cuarta Clase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Caja'!$G$112:$X$112</c:f>
              <c:numCache>
                <c:formatCode>#,##0</c:formatCode>
                <c:ptCount val="17"/>
                <c:pt idx="0">
                  <c:v>20620.294330000001</c:v>
                </c:pt>
                <c:pt idx="1">
                  <c:v>20620.294330000001</c:v>
                </c:pt>
                <c:pt idx="2">
                  <c:v>20620.294330000001</c:v>
                </c:pt>
                <c:pt idx="3">
                  <c:v>20620.294330000001</c:v>
                </c:pt>
                <c:pt idx="4">
                  <c:v>20620.294330000001</c:v>
                </c:pt>
                <c:pt idx="5">
                  <c:v>20620.294330000001</c:v>
                </c:pt>
                <c:pt idx="6">
                  <c:v>20620.294330000001</c:v>
                </c:pt>
                <c:pt idx="7">
                  <c:v>20620.294330000001</c:v>
                </c:pt>
                <c:pt idx="8">
                  <c:v>15157.870925318985</c:v>
                </c:pt>
                <c:pt idx="9">
                  <c:v>723.87092531898452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C2-A24D-BFEA-76EE15905097}"/>
            </c:ext>
          </c:extLst>
        </c:ser>
        <c:ser>
          <c:idx val="5"/>
          <c:order val="5"/>
          <c:tx>
            <c:strRef>
              <c:f>'Flujo Caja'!$B$113</c:f>
              <c:strCache>
                <c:ptCount val="1"/>
                <c:pt idx="0">
                  <c:v>Intereses Cuarta Clase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Caja'!$G$113:$X$113</c:f>
              <c:numCache>
                <c:formatCode>#,##0</c:formatCode>
                <c:ptCount val="17"/>
                <c:pt idx="0">
                  <c:v>2742.4991458900004</c:v>
                </c:pt>
                <c:pt idx="1">
                  <c:v>3608.5515077500004</c:v>
                </c:pt>
                <c:pt idx="2">
                  <c:v>4474.6038696100004</c:v>
                </c:pt>
                <c:pt idx="3">
                  <c:v>5340.6562314700004</c:v>
                </c:pt>
                <c:pt idx="4">
                  <c:v>6206.7085933300004</c:v>
                </c:pt>
                <c:pt idx="5">
                  <c:v>7278.9638984900002</c:v>
                </c:pt>
                <c:pt idx="6">
                  <c:v>8351.2192036500001</c:v>
                </c:pt>
                <c:pt idx="7">
                  <c:v>9629.6774521099996</c:v>
                </c:pt>
                <c:pt idx="8">
                  <c:v>9815.6510196337967</c:v>
                </c:pt>
                <c:pt idx="9">
                  <c:v>7868.6390170035729</c:v>
                </c:pt>
                <c:pt idx="10">
                  <c:v>7768.7448293095531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C2-A24D-BFEA-76EE15905097}"/>
            </c:ext>
          </c:extLst>
        </c:ser>
        <c:ser>
          <c:idx val="6"/>
          <c:order val="6"/>
          <c:tx>
            <c:strRef>
              <c:f>'Flujo Caja'!$B$114</c:f>
              <c:strCache>
                <c:ptCount val="1"/>
                <c:pt idx="0">
                  <c:v>Quinta Clase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Caja'!$G$114:$X$114</c:f>
              <c:numCache>
                <c:formatCode>#,##0</c:formatCode>
                <c:ptCount val="17"/>
                <c:pt idx="0">
                  <c:v>33158.202229681017</c:v>
                </c:pt>
                <c:pt idx="1">
                  <c:v>33158.202229681017</c:v>
                </c:pt>
                <c:pt idx="2">
                  <c:v>33158.202229681017</c:v>
                </c:pt>
                <c:pt idx="3">
                  <c:v>33158.202229681017</c:v>
                </c:pt>
                <c:pt idx="4">
                  <c:v>33158.202229681017</c:v>
                </c:pt>
                <c:pt idx="5">
                  <c:v>33158.202229681017</c:v>
                </c:pt>
                <c:pt idx="6">
                  <c:v>33158.202229681017</c:v>
                </c:pt>
                <c:pt idx="7">
                  <c:v>33158.202229681017</c:v>
                </c:pt>
                <c:pt idx="8">
                  <c:v>33158.202229681017</c:v>
                </c:pt>
                <c:pt idx="9">
                  <c:v>33158.202229681017</c:v>
                </c:pt>
                <c:pt idx="10">
                  <c:v>13882.073155000002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C2-A24D-BFEA-76EE15905097}"/>
            </c:ext>
          </c:extLst>
        </c:ser>
        <c:ser>
          <c:idx val="7"/>
          <c:order val="7"/>
          <c:tx>
            <c:strRef>
              <c:f>'Flujo Caja'!$B$115</c:f>
              <c:strCache>
                <c:ptCount val="1"/>
                <c:pt idx="0">
                  <c:v>Intereses Quinta Clase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Caja'!$G$115:$X$115</c:f>
              <c:numCache>
                <c:formatCode>#,##0</c:formatCode>
                <c:ptCount val="17"/>
                <c:pt idx="0">
                  <c:v>5570.5779745864111</c:v>
                </c:pt>
                <c:pt idx="1">
                  <c:v>6963.2224682330143</c:v>
                </c:pt>
                <c:pt idx="2">
                  <c:v>8355.8669618796175</c:v>
                </c:pt>
                <c:pt idx="3">
                  <c:v>9748.5114555262207</c:v>
                </c:pt>
                <c:pt idx="4">
                  <c:v>11141.155949172824</c:v>
                </c:pt>
                <c:pt idx="5">
                  <c:v>12865.382465116236</c:v>
                </c:pt>
                <c:pt idx="6">
                  <c:v>14589.60898105965</c:v>
                </c:pt>
                <c:pt idx="7">
                  <c:v>16645.417519299874</c:v>
                </c:pt>
                <c:pt idx="8">
                  <c:v>18701.226057540098</c:v>
                </c:pt>
                <c:pt idx="9">
                  <c:v>20757.034595780322</c:v>
                </c:pt>
                <c:pt idx="10">
                  <c:v>18957.617319084344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C2-A24D-BFEA-76EE15905097}"/>
            </c:ext>
          </c:extLst>
        </c:ser>
        <c:ser>
          <c:idx val="8"/>
          <c:order val="8"/>
          <c:tx>
            <c:strRef>
              <c:f>'Flujo Caja'!$B$102</c:f>
              <c:strCache>
                <c:ptCount val="1"/>
                <c:pt idx="0">
                  <c:v>SALDO DEUDA BANCOS TOTAL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'Flujo Caja'!$G$107:$X$107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'Flujo Caja'!$G$102:$X$102</c:f>
              <c:numCache>
                <c:formatCode>#,##0</c:formatCode>
                <c:ptCount val="17"/>
                <c:pt idx="0">
                  <c:v>89101.599166</c:v>
                </c:pt>
                <c:pt idx="1">
                  <c:v>63496.520191000003</c:v>
                </c:pt>
                <c:pt idx="2">
                  <c:v>63496.520191000003</c:v>
                </c:pt>
                <c:pt idx="3">
                  <c:v>59496.520191000003</c:v>
                </c:pt>
                <c:pt idx="4">
                  <c:v>57996.520191000003</c:v>
                </c:pt>
                <c:pt idx="5">
                  <c:v>47996.520191000003</c:v>
                </c:pt>
                <c:pt idx="6">
                  <c:v>33996.520191000003</c:v>
                </c:pt>
                <c:pt idx="7">
                  <c:v>22432.520191</c:v>
                </c:pt>
                <c:pt idx="8">
                  <c:v>20394.943595681016</c:v>
                </c:pt>
                <c:pt idx="9">
                  <c:v>20394.943595681016</c:v>
                </c:pt>
                <c:pt idx="10">
                  <c:v>8538.5841194342174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C2-A24D-BFEA-76EE15905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339816"/>
        <c:axId val="2096335608"/>
      </c:lineChart>
      <c:catAx>
        <c:axId val="209633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335608"/>
        <c:crosses val="autoZero"/>
        <c:auto val="1"/>
        <c:lblAlgn val="ctr"/>
        <c:lblOffset val="100"/>
        <c:noMultiLvlLbl val="0"/>
      </c:catAx>
      <c:valAx>
        <c:axId val="209633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33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Uso de recursos de activos para pagar bancos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'Flujo Caja'!$B$93</c:f>
              <c:strCache>
                <c:ptCount val="1"/>
                <c:pt idx="0">
                  <c:v>Pago a Bancos acumulado principal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'Flujo Caja'!$H$5:$M$5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'Flujo Caja'!$H$93:$M$93</c:f>
              <c:numCache>
                <c:formatCode>_(* #,##0_);_(* \(#,##0\);_(* "-"_);_(@_)</c:formatCode>
                <c:ptCount val="6"/>
                <c:pt idx="0">
                  <c:v>23133.985186999998</c:v>
                </c:pt>
                <c:pt idx="1">
                  <c:v>48739.064161999995</c:v>
                </c:pt>
                <c:pt idx="2">
                  <c:v>48739.064161999995</c:v>
                </c:pt>
                <c:pt idx="3">
                  <c:v>52739.064161999995</c:v>
                </c:pt>
                <c:pt idx="4">
                  <c:v>54239.064161999995</c:v>
                </c:pt>
                <c:pt idx="5">
                  <c:v>64239.064161999995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8-F44A-A1E3-FA0EAEE9BC23}"/>
            </c:ext>
          </c:extLst>
        </c:ser>
        <c:ser>
          <c:idx val="2"/>
          <c:order val="1"/>
          <c:tx>
            <c:strRef>
              <c:f>'Flujo Caja'!$B$99</c:f>
              <c:strCache>
                <c:ptCount val="1"/>
                <c:pt idx="0">
                  <c:v>Ingresos activos NETOS acumulado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'Flujo Caja'!$H$5:$M$5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'Flujo Caja'!$H$99:$M$99</c:f>
              <c:numCache>
                <c:formatCode>_(* #,##0_);_(* \(#,##0\);_(* "-"_);_(@_)</c:formatCode>
                <c:ptCount val="6"/>
                <c:pt idx="0">
                  <c:v>40363.349136388497</c:v>
                </c:pt>
                <c:pt idx="1">
                  <c:v>75004.057052310003</c:v>
                </c:pt>
                <c:pt idx="2">
                  <c:v>75004.057052310003</c:v>
                </c:pt>
                <c:pt idx="3">
                  <c:v>89694.122340439993</c:v>
                </c:pt>
                <c:pt idx="4">
                  <c:v>92606.565673773322</c:v>
                </c:pt>
                <c:pt idx="5">
                  <c:v>95198.442340439986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08-F44A-A1E3-FA0EAEE9B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96298696"/>
        <c:axId val="2096294760"/>
      </c:barChart>
      <c:catAx>
        <c:axId val="2096298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294760"/>
        <c:crosses val="autoZero"/>
        <c:auto val="1"/>
        <c:lblAlgn val="ctr"/>
        <c:lblOffset val="100"/>
        <c:noMultiLvlLbl val="0"/>
      </c:catAx>
      <c:valAx>
        <c:axId val="209629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298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PyG!$B$165</c:f>
              <c:strCache>
                <c:ptCount val="1"/>
                <c:pt idx="0">
                  <c:v>Patrimonio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PyG!$K$4:$AF$4</c:f>
              <c:numCache>
                <c:formatCode>General</c:formatCode>
                <c:ptCount val="22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</c:numCache>
            </c:numRef>
          </c:cat>
          <c:val>
            <c:numRef>
              <c:f>PyG!$K$165:$AF$165</c:f>
              <c:numCache>
                <c:formatCode>#,##0.0</c:formatCode>
                <c:ptCount val="22"/>
                <c:pt idx="0">
                  <c:v>0.6</c:v>
                </c:pt>
                <c:pt idx="1">
                  <c:v>1.176171456202479</c:v>
                </c:pt>
                <c:pt idx="2">
                  <c:v>-17.518300470340638</c:v>
                </c:pt>
                <c:pt idx="3">
                  <c:v>-30.100912815309485</c:v>
                </c:pt>
                <c:pt idx="4">
                  <c:v>-30.92413502822399</c:v>
                </c:pt>
                <c:pt idx="5">
                  <c:v>-27.525990905353968</c:v>
                </c:pt>
                <c:pt idx="6">
                  <c:v>-14.567693571430928</c:v>
                </c:pt>
                <c:pt idx="7">
                  <c:v>3.6589330408722223</c:v>
                </c:pt>
                <c:pt idx="8">
                  <c:v>19.839884306165217</c:v>
                </c:pt>
                <c:pt idx="9">
                  <c:v>40.342374647110418</c:v>
                </c:pt>
                <c:pt idx="10">
                  <c:v>63.940802190772224</c:v>
                </c:pt>
                <c:pt idx="11">
                  <c:v>90.586363821260989</c:v>
                </c:pt>
                <c:pt idx="12">
                  <c:v>120.30822133994334</c:v>
                </c:pt>
                <c:pt idx="13">
                  <c:v>152.43370037038761</c:v>
                </c:pt>
                <c:pt idx="14">
                  <c:v>184.2297518228317</c:v>
                </c:pt>
                <c:pt idx="15">
                  <c:v>217.52295485146377</c:v>
                </c:pt>
                <c:pt idx="16">
                  <c:v>252.79162464118883</c:v>
                </c:pt>
                <c:pt idx="17">
                  <c:v>290.44339545138962</c:v>
                </c:pt>
                <c:pt idx="18">
                  <c:v>328.49425541035464</c:v>
                </c:pt>
                <c:pt idx="19">
                  <c:v>372.62357406585812</c:v>
                </c:pt>
                <c:pt idx="20">
                  <c:v>415.77166427560064</c:v>
                </c:pt>
                <c:pt idx="21">
                  <c:v>462.21494675729372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0E-F44F-AD7A-774A3CEEB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247592"/>
        <c:axId val="2096243416"/>
      </c:lineChart>
      <c:catAx>
        <c:axId val="209624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243416"/>
        <c:crosses val="autoZero"/>
        <c:auto val="1"/>
        <c:lblAlgn val="ctr"/>
        <c:lblOffset val="100"/>
        <c:noMultiLvlLbl val="0"/>
      </c:catAx>
      <c:valAx>
        <c:axId val="209624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247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'Proyectos Inmob detall'!$B$596</c:f>
              <c:strCache>
                <c:ptCount val="1"/>
                <c:pt idx="0">
                  <c:v>Abono al credito Constructor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'Proyectos Inmob detall'!$J$4:$AA$4</c:f>
              <c:numCache>
                <c:formatCode>General</c:formatCode>
                <c:ptCount val="1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</c:numCache>
            </c:numRef>
          </c:cat>
          <c:val>
            <c:numRef>
              <c:f>'Proyectos Inmob detall'!$J$596:$AA$596</c:f>
              <c:numCache>
                <c:formatCode>#,##0</c:formatCode>
                <c:ptCount val="18"/>
                <c:pt idx="0">
                  <c:v>8365.5</c:v>
                </c:pt>
                <c:pt idx="1">
                  <c:v>26025.415000000001</c:v>
                </c:pt>
                <c:pt idx="2">
                  <c:v>53961.788400000005</c:v>
                </c:pt>
                <c:pt idx="3">
                  <c:v>85020.606216000015</c:v>
                </c:pt>
                <c:pt idx="4">
                  <c:v>108775.64174464002</c:v>
                </c:pt>
                <c:pt idx="5">
                  <c:v>124309.57317442562</c:v>
                </c:pt>
                <c:pt idx="6">
                  <c:v>139866.98235063095</c:v>
                </c:pt>
                <c:pt idx="7">
                  <c:v>156375.25961001244</c:v>
                </c:pt>
                <c:pt idx="8">
                  <c:v>173862.57018755286</c:v>
                </c:pt>
                <c:pt idx="9">
                  <c:v>193899.49102406431</c:v>
                </c:pt>
                <c:pt idx="10">
                  <c:v>201655.47066502689</c:v>
                </c:pt>
                <c:pt idx="11">
                  <c:v>171086.78076731661</c:v>
                </c:pt>
                <c:pt idx="12">
                  <c:v>178276.37515076087</c:v>
                </c:pt>
                <c:pt idx="13">
                  <c:v>185837.54746230954</c:v>
                </c:pt>
                <c:pt idx="14">
                  <c:v>188158.09293209782</c:v>
                </c:pt>
                <c:pt idx="15">
                  <c:v>245344.71366944304</c:v>
                </c:pt>
                <c:pt idx="16">
                  <c:v>255158.50221622078</c:v>
                </c:pt>
                <c:pt idx="17">
                  <c:v>216479.35751814142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26-C546-A6FA-64E386C62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4679624"/>
        <c:axId val="2094683128"/>
      </c:lineChart>
      <c:catAx>
        <c:axId val="209467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4683128"/>
        <c:crosses val="autoZero"/>
        <c:auto val="1"/>
        <c:lblAlgn val="ctr"/>
        <c:lblOffset val="100"/>
        <c:noMultiLvlLbl val="0"/>
      </c:catAx>
      <c:valAx>
        <c:axId val="209468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467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_tradnl"/>
              <a:t>Propuesta</a:t>
            </a:r>
            <a:r>
              <a:rPr lang="es-ES_tradnl" baseline="0"/>
              <a:t> de esquema calificaci</a:t>
            </a:r>
            <a:r>
              <a:rPr lang="es-ES" baseline="0"/>
              <a:t>ón Bancos que firmen el acuerdo</a:t>
            </a:r>
            <a:endParaRPr lang="es-ES_tradnl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'Para hacer operaciones'!$E$41</c:f>
              <c:strCache>
                <c:ptCount val="1"/>
                <c:pt idx="0">
                  <c:v>Clase 2</c:v>
                </c:pt>
              </c:strCache>
            </c:strRef>
          </c:tx>
          <c:invertIfNegative val="0"/>
          <c:cat>
            <c:strRef>
              <c:f>'Para hacer operaciones'!$F$40:$G$40</c:f>
              <c:strCache>
                <c:ptCount val="2"/>
                <c:pt idx="0">
                  <c:v>Calificación Supersociedades</c:v>
                </c:pt>
                <c:pt idx="1">
                  <c:v>Pago con acuerdo 1116</c:v>
                </c:pt>
              </c:strCache>
            </c:strRef>
          </c:cat>
          <c:val>
            <c:numRef>
              <c:f>'Para hacer operaciones'!$F$41:$G$41</c:f>
              <c:numCache>
                <c:formatCode>_(* #,##0_);_(* \(#,##0\);_(* "-"_);_(@_)</c:formatCode>
                <c:ptCount val="2"/>
                <c:pt idx="0">
                  <c:v>25397.382494000001</c:v>
                </c:pt>
                <c:pt idx="1">
                  <c:v>91840.640757318979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D-114A-95E1-6775E1A17B37}"/>
            </c:ext>
          </c:extLst>
        </c:ser>
        <c:ser>
          <c:idx val="1"/>
          <c:order val="1"/>
          <c:tx>
            <c:strRef>
              <c:f>'Para hacer operaciones'!$E$42</c:f>
              <c:strCache>
                <c:ptCount val="1"/>
                <c:pt idx="0">
                  <c:v>Clase 5</c:v>
                </c:pt>
              </c:strCache>
            </c:strRef>
          </c:tx>
          <c:invertIfNegative val="0"/>
          <c:cat>
            <c:strRef>
              <c:f>'Para hacer operaciones'!$F$40:$G$40</c:f>
              <c:strCache>
                <c:ptCount val="2"/>
                <c:pt idx="0">
                  <c:v>Calificación Supersociedades</c:v>
                </c:pt>
                <c:pt idx="1">
                  <c:v>Pago con acuerdo 1116</c:v>
                </c:pt>
              </c:strCache>
            </c:strRef>
          </c:cat>
          <c:val>
            <c:numRef>
              <c:f>'Para hacer operaciones'!$F$42:$G$42</c:f>
              <c:numCache>
                <c:formatCode>_(* #,##0_);_(* \(#,##0\);_(* "-"_);_(@_)</c:formatCode>
                <c:ptCount val="2"/>
                <c:pt idx="0">
                  <c:v>86838.201858999993</c:v>
                </c:pt>
                <c:pt idx="1">
                  <c:v>20394.943595681016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D-114A-95E1-6775E1A17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4735560"/>
        <c:axId val="2094738600"/>
      </c:barChart>
      <c:catAx>
        <c:axId val="209473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4738600"/>
        <c:crosses val="autoZero"/>
        <c:auto val="1"/>
        <c:lblAlgn val="ctr"/>
        <c:lblOffset val="100"/>
        <c:noMultiLvlLbl val="0"/>
      </c:catAx>
      <c:valAx>
        <c:axId val="209473860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2094735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Ventas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PyG!$B$210</c:f>
              <c:strCache>
                <c:ptCount val="1"/>
                <c:pt idx="0">
                  <c:v>Neg Int - Backlog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PyG!$L$209:$W$209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PyG!$L$210:$W$210</c:f>
              <c:numCache>
                <c:formatCode>#,##0</c:formatCode>
                <c:ptCount val="12"/>
                <c:pt idx="0">
                  <c:v>207240.80693814601</c:v>
                </c:pt>
                <c:pt idx="1">
                  <c:v>126854.45873643231</c:v>
                </c:pt>
                <c:pt idx="2">
                  <c:v>35995.918040670716</c:v>
                </c:pt>
                <c:pt idx="3">
                  <c:v>58894.615024980805</c:v>
                </c:pt>
                <c:pt idx="4">
                  <c:v>14131.617919025002</c:v>
                </c:pt>
                <c:pt idx="5">
                  <c:v>9477.7358503050018</c:v>
                </c:pt>
                <c:pt idx="6">
                  <c:v>11978.293590674994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F-6649-A78E-BB48DBDC520F}"/>
            </c:ext>
          </c:extLst>
        </c:ser>
        <c:ser>
          <c:idx val="0"/>
          <c:order val="1"/>
          <c:tx>
            <c:strRef>
              <c:f>PyG!$B$211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PyG!$L$211:$W$211</c:f>
              <c:numCache>
                <c:formatCode>#,##0</c:formatCode>
                <c:ptCount val="12"/>
                <c:pt idx="0">
                  <c:v>0</c:v>
                </c:pt>
                <c:pt idx="1">
                  <c:v>10000</c:v>
                </c:pt>
                <c:pt idx="2">
                  <c:v>41541.756215166257</c:v>
                </c:pt>
                <c:pt idx="3">
                  <c:v>52760.918325329687</c:v>
                </c:pt>
                <c:pt idx="4">
                  <c:v>54871.355058342873</c:v>
                </c:pt>
                <c:pt idx="5">
                  <c:v>53802.477491260972</c:v>
                </c:pt>
                <c:pt idx="6">
                  <c:v>44108.504640224906</c:v>
                </c:pt>
                <c:pt idx="7">
                  <c:v>45872.844825833905</c:v>
                </c:pt>
                <c:pt idx="8">
                  <c:v>47707.758618867265</c:v>
                </c:pt>
                <c:pt idx="9">
                  <c:v>34464.116468557826</c:v>
                </c:pt>
                <c:pt idx="10">
                  <c:v>17515.623802954669</c:v>
                </c:pt>
                <c:pt idx="11">
                  <c:v>18216.248755072858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C-8643-8A07-B610C8BCEAC5}"/>
            </c:ext>
          </c:extLst>
        </c:ser>
        <c:ser>
          <c:idx val="2"/>
          <c:order val="2"/>
          <c:tx>
            <c:strRef>
              <c:f>PyG!$B$212</c:f>
              <c:strCache>
                <c:ptCount val="1"/>
                <c:pt idx="0">
                  <c:v>Neg Int - Por conseguir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PyG!$L$209:$W$209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PyG!$L$212:$W$212</c:f>
              <c:numCache>
                <c:formatCode>#,##0</c:formatCode>
                <c:ptCount val="12"/>
                <c:pt idx="0">
                  <c:v>0</c:v>
                </c:pt>
                <c:pt idx="1">
                  <c:v>17509.670254600001</c:v>
                </c:pt>
                <c:pt idx="2">
                  <c:v>129242.98674029144</c:v>
                </c:pt>
                <c:pt idx="3">
                  <c:v>174380.27822995227</c:v>
                </c:pt>
                <c:pt idx="4">
                  <c:v>271379.27250577521</c:v>
                </c:pt>
                <c:pt idx="5">
                  <c:v>373456.2119210111</c:v>
                </c:pt>
                <c:pt idx="6">
                  <c:v>443151.35310458764</c:v>
                </c:pt>
                <c:pt idx="7">
                  <c:v>499240.37941324222</c:v>
                </c:pt>
                <c:pt idx="8">
                  <c:v>556252.09219677607</c:v>
                </c:pt>
                <c:pt idx="9">
                  <c:v>619262.06202981481</c:v>
                </c:pt>
                <c:pt idx="10">
                  <c:v>688588.41012958332</c:v>
                </c:pt>
                <c:pt idx="11">
                  <c:v>732581.67342468817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F-6649-A78E-BB48DBDC5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91076072"/>
        <c:axId val="2096686744"/>
      </c:barChart>
      <c:catAx>
        <c:axId val="209107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686744"/>
        <c:crosses val="autoZero"/>
        <c:auto val="1"/>
        <c:lblAlgn val="ctr"/>
        <c:lblOffset val="100"/>
        <c:noMultiLvlLbl val="0"/>
      </c:catAx>
      <c:valAx>
        <c:axId val="209668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1076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5"/>
              <c:layout>
                <c:manualLayout>
                  <c:x val="0"/>
                  <c:y val="3.6376035668365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D5-2C4B-89B8-56A34894AD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'Para hacer operaciones'!$D$103:$D$112</c:f>
              <c:strCache>
                <c:ptCount val="10"/>
                <c:pt idx="0">
                  <c:v>Familia Wills Mejía</c:v>
                </c:pt>
                <c:pt idx="1">
                  <c:v>Familia Córdoba Jaramillo</c:v>
                </c:pt>
                <c:pt idx="2">
                  <c:v>Familia Londoño Angel</c:v>
                </c:pt>
                <c:pt idx="3">
                  <c:v>Javier Echeverri Palacio</c:v>
                </c:pt>
                <c:pt idx="4">
                  <c:v>Jaime Restrepo Acevedo</c:v>
                </c:pt>
                <c:pt idx="5">
                  <c:v>Familia Córdoba Restrepo</c:v>
                </c:pt>
                <c:pt idx="6">
                  <c:v>Fabio Mejía Cadavid</c:v>
                </c:pt>
                <c:pt idx="7">
                  <c:v>Gonzalo Echeverri P.</c:v>
                </c:pt>
                <c:pt idx="8">
                  <c:v>Nelly Estrada y Cia SAS</c:v>
                </c:pt>
                <c:pt idx="9">
                  <c:v>Familia Ochoa Ramirez</c:v>
                </c:pt>
              </c:strCache>
            </c:strRef>
          </c:cat>
          <c:val>
            <c:numRef>
              <c:f>'Para hacer operaciones'!$E$103:$E$112</c:f>
              <c:numCache>
                <c:formatCode>#,##0</c:formatCode>
                <c:ptCount val="10"/>
                <c:pt idx="0">
                  <c:v>27460284</c:v>
                </c:pt>
                <c:pt idx="1">
                  <c:v>28249419</c:v>
                </c:pt>
                <c:pt idx="2">
                  <c:v>11978150</c:v>
                </c:pt>
                <c:pt idx="3">
                  <c:v>10850481</c:v>
                </c:pt>
                <c:pt idx="4">
                  <c:v>8475273</c:v>
                </c:pt>
                <c:pt idx="5">
                  <c:v>6356454</c:v>
                </c:pt>
                <c:pt idx="6">
                  <c:v>5085607</c:v>
                </c:pt>
                <c:pt idx="7">
                  <c:v>4632763</c:v>
                </c:pt>
                <c:pt idx="8">
                  <c:v>3389664</c:v>
                </c:pt>
                <c:pt idx="9">
                  <c:v>1931992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5-2C4B-89B8-56A34894AD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Ventas por Unidad de Negocios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PyG!$B$215</c:f>
              <c:strCache>
                <c:ptCount val="1"/>
                <c:pt idx="0">
                  <c:v>Inmobiliario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PyG!$C$214:$W$214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PyG!$C$215:$W$215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16778.6712498538</c:v>
                </c:pt>
                <c:pt idx="5">
                  <c:v>13443.102844499805</c:v>
                </c:pt>
                <c:pt idx="6">
                  <c:v>16283.294580661775</c:v>
                </c:pt>
                <c:pt idx="7">
                  <c:v>34964.039118255205</c:v>
                </c:pt>
                <c:pt idx="8">
                  <c:v>29357.439169050118</c:v>
                </c:pt>
                <c:pt idx="9">
                  <c:v>40510.697201341805</c:v>
                </c:pt>
                <c:pt idx="10">
                  <c:v>53550.855709393632</c:v>
                </c:pt>
                <c:pt idx="11">
                  <c:v>60709.998131281129</c:v>
                </c:pt>
                <c:pt idx="12">
                  <c:v>71590.171274498658</c:v>
                </c:pt>
                <c:pt idx="13">
                  <c:v>78873.762189534609</c:v>
                </c:pt>
                <c:pt idx="14">
                  <c:v>86301.106522598639</c:v>
                </c:pt>
                <c:pt idx="15">
                  <c:v>93676.107632588304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4-514F-90FB-11EDB48B8165}"/>
            </c:ext>
          </c:extLst>
        </c:ser>
        <c:ser>
          <c:idx val="1"/>
          <c:order val="1"/>
          <c:tx>
            <c:strRef>
              <c:f>PyG!$B$216</c:f>
              <c:strCache>
                <c:ptCount val="1"/>
                <c:pt idx="0">
                  <c:v>Arquitectura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PyG!$C$214:$W$214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PyG!$C$216:$W$216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8781</c:v>
                </c:pt>
                <c:pt idx="4">
                  <c:v>10693.2034145088</c:v>
                </c:pt>
                <c:pt idx="5">
                  <c:v>8654.3548254912002</c:v>
                </c:pt>
                <c:pt idx="6">
                  <c:v>8538.1076139064517</c:v>
                </c:pt>
                <c:pt idx="7">
                  <c:v>9189.4806464610574</c:v>
                </c:pt>
                <c:pt idx="8">
                  <c:v>9737.1064881767179</c:v>
                </c:pt>
                <c:pt idx="9">
                  <c:v>10301.333503618729</c:v>
                </c:pt>
                <c:pt idx="10">
                  <c:v>10915.594647202679</c:v>
                </c:pt>
                <c:pt idx="11">
                  <c:v>11439.73970003356</c:v>
                </c:pt>
                <c:pt idx="12">
                  <c:v>12044.610640066823</c:v>
                </c:pt>
                <c:pt idx="13">
                  <c:v>12602.76715684549</c:v>
                </c:pt>
                <c:pt idx="14">
                  <c:v>13181.595507830642</c:v>
                </c:pt>
                <c:pt idx="15">
                  <c:v>13778.109967437682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4-514F-90FB-11EDB48B8165}"/>
            </c:ext>
          </c:extLst>
        </c:ser>
        <c:ser>
          <c:idx val="2"/>
          <c:order val="2"/>
          <c:tx>
            <c:strRef>
              <c:f>PyG!$B$217</c:f>
              <c:strCache>
                <c:ptCount val="1"/>
                <c:pt idx="0">
                  <c:v>Preconstrucción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PyG!$C$214:$W$214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PyG!$C$217:$W$217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412</c:v>
                </c:pt>
                <c:pt idx="4">
                  <c:v>0</c:v>
                </c:pt>
                <c:pt idx="5">
                  <c:v>17.9088624</c:v>
                </c:pt>
                <c:pt idx="6">
                  <c:v>64.443045562580636</c:v>
                </c:pt>
                <c:pt idx="7">
                  <c:v>124.99225858442321</c:v>
                </c:pt>
                <c:pt idx="8">
                  <c:v>202.01059527068693</c:v>
                </c:pt>
                <c:pt idx="9">
                  <c:v>279.98812144749161</c:v>
                </c:pt>
                <c:pt idx="10">
                  <c:v>372.07076768107129</c:v>
                </c:pt>
                <c:pt idx="11">
                  <c:v>421.96210516542408</c:v>
                </c:pt>
                <c:pt idx="12">
                  <c:v>497.75313018480898</c:v>
                </c:pt>
                <c:pt idx="13">
                  <c:v>548.21209186259841</c:v>
                </c:pt>
                <c:pt idx="14">
                  <c:v>600.02764142163505</c:v>
                </c:pt>
                <c:pt idx="15">
                  <c:v>651.72900279602607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4-514F-90FB-11EDB48B8165}"/>
            </c:ext>
          </c:extLst>
        </c:ser>
        <c:ser>
          <c:idx val="3"/>
          <c:order val="3"/>
          <c:tx>
            <c:strRef>
              <c:f>PyG!$B$218</c:f>
              <c:strCache>
                <c:ptCount val="1"/>
                <c:pt idx="0">
                  <c:v>Construcción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PyG!$C$214:$W$214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PyG!$C$218:$W$218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186177</c:v>
                </c:pt>
                <c:pt idx="4">
                  <c:v>169085.41915955037</c:v>
                </c:pt>
                <c:pt idx="5">
                  <c:v>123032.05490443435</c:v>
                </c:pt>
                <c:pt idx="6">
                  <c:v>170785.86755989114</c:v>
                </c:pt>
                <c:pt idx="7">
                  <c:v>229524.65243591147</c:v>
                </c:pt>
                <c:pt idx="8">
                  <c:v>289037.83423490875</c:v>
                </c:pt>
                <c:pt idx="9">
                  <c:v>375836.82248720399</c:v>
                </c:pt>
                <c:pt idx="10">
                  <c:v>422521.81355468661</c:v>
                </c:pt>
                <c:pt idx="11">
                  <c:v>459536.66481264704</c:v>
                </c:pt>
                <c:pt idx="12">
                  <c:v>505214.14083250862</c:v>
                </c:pt>
                <c:pt idx="13">
                  <c:v>545976.84936238884</c:v>
                </c:pt>
                <c:pt idx="14">
                  <c:v>589100.41968117957</c:v>
                </c:pt>
                <c:pt idx="15">
                  <c:v>624531.62233911408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74-514F-90FB-11EDB48B8165}"/>
            </c:ext>
          </c:extLst>
        </c:ser>
        <c:ser>
          <c:idx val="4"/>
          <c:order val="4"/>
          <c:tx>
            <c:strRef>
              <c:f>PyG!$B$219</c:f>
              <c:strCache>
                <c:ptCount val="1"/>
                <c:pt idx="0">
                  <c:v>Equipos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PyG!$C$214:$W$214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PyG!$C$219:$W$219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4126</c:v>
                </c:pt>
                <c:pt idx="4">
                  <c:v>4256</c:v>
                </c:pt>
                <c:pt idx="5">
                  <c:v>4256</c:v>
                </c:pt>
                <c:pt idx="6">
                  <c:v>4426.24</c:v>
                </c:pt>
                <c:pt idx="7">
                  <c:v>4603.2896000000001</c:v>
                </c:pt>
                <c:pt idx="8">
                  <c:v>4787.4211839999998</c:v>
                </c:pt>
                <c:pt idx="9">
                  <c:v>4978.91803136</c:v>
                </c:pt>
                <c:pt idx="10">
                  <c:v>5178.0747526144005</c:v>
                </c:pt>
                <c:pt idx="11">
                  <c:v>5385.1977427189768</c:v>
                </c:pt>
                <c:pt idx="12">
                  <c:v>5600.6056524277365</c:v>
                </c:pt>
                <c:pt idx="13">
                  <c:v>5824.6298785248464</c:v>
                </c:pt>
                <c:pt idx="14">
                  <c:v>6057.6150736658401</c:v>
                </c:pt>
                <c:pt idx="15">
                  <c:v>6299.9196766124742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74-514F-90FB-11EDB48B8165}"/>
            </c:ext>
          </c:extLst>
        </c:ser>
        <c:ser>
          <c:idx val="5"/>
          <c:order val="5"/>
          <c:tx>
            <c:strRef>
              <c:f>PyG!$B$220</c:f>
              <c:strCache>
                <c:ptCount val="1"/>
                <c:pt idx="0">
                  <c:v>Renta Activos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PyG!$C$214:$W$214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PyG!$C$220:$W$220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3334</c:v>
                </c:pt>
                <c:pt idx="4">
                  <c:v>4000</c:v>
                </c:pt>
                <c:pt idx="5">
                  <c:v>2611</c:v>
                </c:pt>
                <c:pt idx="6">
                  <c:v>3611</c:v>
                </c:pt>
                <c:pt idx="7">
                  <c:v>3755.44</c:v>
                </c:pt>
                <c:pt idx="8">
                  <c:v>3905.6576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74-514F-90FB-11EDB48B8165}"/>
            </c:ext>
          </c:extLst>
        </c:ser>
        <c:ser>
          <c:idx val="6"/>
          <c:order val="6"/>
          <c:tx>
            <c:strRef>
              <c:f>PyG!$B$221</c:f>
              <c:strCache>
                <c:ptCount val="1"/>
                <c:pt idx="0">
                  <c:v>Retorno de inversion corporativa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PyG!$C$214:$W$214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PyG!$C$221:$W$221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2427.513114233052</c:v>
                </c:pt>
                <c:pt idx="5">
                  <c:v>2349.7075542069483</c:v>
                </c:pt>
                <c:pt idx="6">
                  <c:v>3071.708196106501</c:v>
                </c:pt>
                <c:pt idx="7">
                  <c:v>3873.917521050596</c:v>
                </c:pt>
                <c:pt idx="8">
                  <c:v>3354.7762117367747</c:v>
                </c:pt>
                <c:pt idx="9">
                  <c:v>4828.6659176049552</c:v>
                </c:pt>
                <c:pt idx="10">
                  <c:v>6699.7419039091528</c:v>
                </c:pt>
                <c:pt idx="11">
                  <c:v>7619.6617472299768</c:v>
                </c:pt>
                <c:pt idx="12">
                  <c:v>9012.5692859566861</c:v>
                </c:pt>
                <c:pt idx="13">
                  <c:v>9899.9578192162226</c:v>
                </c:pt>
                <c:pt idx="14">
                  <c:v>10863.269505841663</c:v>
                </c:pt>
                <c:pt idx="15">
                  <c:v>11860.433561212461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74-514F-90FB-11EDB48B8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96778520"/>
        <c:axId val="2096781704"/>
      </c:barChart>
      <c:catAx>
        <c:axId val="20967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781704"/>
        <c:crosses val="autoZero"/>
        <c:auto val="1"/>
        <c:lblAlgn val="ctr"/>
        <c:lblOffset val="100"/>
        <c:noMultiLvlLbl val="0"/>
      </c:catAx>
      <c:valAx>
        <c:axId val="209678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7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Ventas negocios Internos - Externos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PyG!$B$202</c:f>
              <c:strCache>
                <c:ptCount val="1"/>
                <c:pt idx="0">
                  <c:v>Ventas Negocios Externos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PyG!$L$209:$W$209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PyG!$L$202:$W$202</c:f>
              <c:numCache>
                <c:formatCode>#,##0</c:formatCode>
                <c:ptCount val="12"/>
                <c:pt idx="0">
                  <c:v>148633</c:v>
                </c:pt>
                <c:pt idx="1">
                  <c:v>115244</c:v>
                </c:pt>
                <c:pt idx="2">
                  <c:v>156414.24</c:v>
                </c:pt>
                <c:pt idx="3">
                  <c:v>187235.72959999999</c:v>
                </c:pt>
                <c:pt idx="4">
                  <c:v>252925.158784</c:v>
                </c:pt>
                <c:pt idx="5">
                  <c:v>315520.28123136004</c:v>
                </c:pt>
                <c:pt idx="6">
                  <c:v>338156.37568061444</c:v>
                </c:pt>
                <c:pt idx="7">
                  <c:v>362431.83386073506</c:v>
                </c:pt>
                <c:pt idx="8">
                  <c:v>388466.01197510475</c:v>
                </c:pt>
                <c:pt idx="9">
                  <c:v>416386.98159485759</c:v>
                </c:pt>
                <c:pt idx="10">
                  <c:v>446332.16707883461</c:v>
                </c:pt>
                <c:pt idx="11">
                  <c:v>468642.8212282373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0-EF41-8936-43E7B93EB18A}"/>
            </c:ext>
          </c:extLst>
        </c:ser>
        <c:ser>
          <c:idx val="1"/>
          <c:order val="1"/>
          <c:tx>
            <c:strRef>
              <c:f>PyG!$B$205</c:f>
              <c:strCache>
                <c:ptCount val="1"/>
                <c:pt idx="0">
                  <c:v>Ventas Negocios Internos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PyG!$L$209:$W$209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PyG!$L$205:$W$205</c:f>
              <c:numCache>
                <c:formatCode>#,##0</c:formatCode>
                <c:ptCount val="12"/>
                <c:pt idx="0">
                  <c:v>58607.806938146008</c:v>
                </c:pt>
                <c:pt idx="1">
                  <c:v>39120.128991032303</c:v>
                </c:pt>
                <c:pt idx="2">
                  <c:v>50366.420996128429</c:v>
                </c:pt>
                <c:pt idx="3">
                  <c:v>98800.081980262767</c:v>
                </c:pt>
                <c:pt idx="4">
                  <c:v>87457.086699143081</c:v>
                </c:pt>
                <c:pt idx="5">
                  <c:v>121216.14403121702</c:v>
                </c:pt>
                <c:pt idx="6">
                  <c:v>161081.77565487311</c:v>
                </c:pt>
                <c:pt idx="7">
                  <c:v>182681.39037834108</c:v>
                </c:pt>
                <c:pt idx="8">
                  <c:v>215493.83884053858</c:v>
                </c:pt>
                <c:pt idx="9">
                  <c:v>237339.196903515</c:v>
                </c:pt>
                <c:pt idx="10">
                  <c:v>259771.8668537034</c:v>
                </c:pt>
                <c:pt idx="11">
                  <c:v>282155.10095152381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0-EF41-8936-43E7B93EB1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96834648"/>
        <c:axId val="2096838024"/>
      </c:barChart>
      <c:catAx>
        <c:axId val="209683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838024"/>
        <c:crosses val="autoZero"/>
        <c:auto val="1"/>
        <c:lblAlgn val="ctr"/>
        <c:lblOffset val="100"/>
        <c:noMultiLvlLbl val="0"/>
      </c:catAx>
      <c:valAx>
        <c:axId val="209683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83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Contribución negocios internos vs externos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PyG!$B$44</c:f>
              <c:strCache>
                <c:ptCount val="1"/>
                <c:pt idx="0">
                  <c:v>Utilidad Bruta Negocios Externos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PyG!$L$4:$W$4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PyG!$L$44:$W$44</c:f>
              <c:numCache>
                <c:formatCode>#,##0</c:formatCode>
                <c:ptCount val="12"/>
                <c:pt idx="0">
                  <c:v>12900</c:v>
                </c:pt>
                <c:pt idx="1">
                  <c:v>2663.2749999999996</c:v>
                </c:pt>
                <c:pt idx="2">
                  <c:v>6580.474400000001</c:v>
                </c:pt>
                <c:pt idx="3">
                  <c:v>11688.281375999999</c:v>
                </c:pt>
                <c:pt idx="4">
                  <c:v>16109.41663104</c:v>
                </c:pt>
                <c:pt idx="5">
                  <c:v>20755.475881881601</c:v>
                </c:pt>
                <c:pt idx="6">
                  <c:v>22186.611909156865</c:v>
                </c:pt>
                <c:pt idx="7">
                  <c:v>23719.028574696906</c:v>
                </c:pt>
                <c:pt idx="8">
                  <c:v>25360.004003281196</c:v>
                </c:pt>
                <c:pt idx="9">
                  <c:v>27117.343911857362</c:v>
                </c:pt>
                <c:pt idx="10">
                  <c:v>28999.420041542617</c:v>
                </c:pt>
                <c:pt idx="11">
                  <c:v>30426.838891179283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6-BF4A-B34D-10F614467E34}"/>
            </c:ext>
          </c:extLst>
        </c:ser>
        <c:ser>
          <c:idx val="1"/>
          <c:order val="1"/>
          <c:tx>
            <c:strRef>
              <c:f>PyG!$B$61</c:f>
              <c:strCache>
                <c:ptCount val="1"/>
                <c:pt idx="0">
                  <c:v>Utilidad Bruta Negocios Internos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PyG!$L$4:$W$4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PyG!$L$61:$W$61</c:f>
              <c:numCache>
                <c:formatCode>#,##0</c:formatCode>
                <c:ptCount val="12"/>
                <c:pt idx="0">
                  <c:v>5898.893877016917</c:v>
                </c:pt>
                <c:pt idx="1">
                  <c:v>6702.8599948849151</c:v>
                </c:pt>
                <c:pt idx="2">
                  <c:v>7767.684865019397</c:v>
                </c:pt>
                <c:pt idx="3">
                  <c:v>13390.186938644012</c:v>
                </c:pt>
                <c:pt idx="4">
                  <c:v>13694.248483440557</c:v>
                </c:pt>
                <c:pt idx="5">
                  <c:v>19159.24800531015</c:v>
                </c:pt>
                <c:pt idx="6">
                  <c:v>25743.37365201184</c:v>
                </c:pt>
                <c:pt idx="7">
                  <c:v>29216.872924304997</c:v>
                </c:pt>
                <c:pt idx="8">
                  <c:v>34488.978980227745</c:v>
                </c:pt>
                <c:pt idx="9">
                  <c:v>37958.999550323679</c:v>
                </c:pt>
                <c:pt idx="10">
                  <c:v>41574.37726938109</c:v>
                </c:pt>
                <c:pt idx="11">
                  <c:v>45217.762883693169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6-BF4A-B34D-10F614467E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96897256"/>
        <c:axId val="2096900632"/>
      </c:barChart>
      <c:catAx>
        <c:axId val="209689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900632"/>
        <c:crosses val="autoZero"/>
        <c:auto val="1"/>
        <c:lblAlgn val="ctr"/>
        <c:lblOffset val="100"/>
        <c:noMultiLvlLbl val="0"/>
      </c:catAx>
      <c:valAx>
        <c:axId val="2096900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89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Márgenes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PyG!$B$81</c:f>
              <c:strCache>
                <c:ptCount val="1"/>
                <c:pt idx="0">
                  <c:v>Margen Bruto Negocios Externos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PyG!$L$4:$W$4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PyG!$L$81:$W$81</c:f>
              <c:numCache>
                <c:formatCode>0.0%</c:formatCode>
                <c:ptCount val="12"/>
                <c:pt idx="0">
                  <c:v>8.6790954902343356E-2</c:v>
                </c:pt>
                <c:pt idx="1">
                  <c:v>2.310987990697997E-2</c:v>
                </c:pt>
                <c:pt idx="2">
                  <c:v>4.2070814012841809E-2</c:v>
                </c:pt>
                <c:pt idx="3">
                  <c:v>6.2425485781854743E-2</c:v>
                </c:pt>
                <c:pt idx="4">
                  <c:v>6.3692424701797118E-2</c:v>
                </c:pt>
                <c:pt idx="5">
                  <c:v>6.5781748801948911E-2</c:v>
                </c:pt>
                <c:pt idx="6">
                  <c:v>6.5610508938361442E-2</c:v>
                </c:pt>
                <c:pt idx="7">
                  <c:v>6.5444109370952699E-2</c:v>
                </c:pt>
                <c:pt idx="8">
                  <c:v>6.5282426831478932E-2</c:v>
                </c:pt>
                <c:pt idx="9">
                  <c:v>6.5125340393668699E-2</c:v>
                </c:pt>
                <c:pt idx="10">
                  <c:v>6.4972731477855858E-2</c:v>
                </c:pt>
                <c:pt idx="11">
                  <c:v>6.4925434708325291E-2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8-DC42-8583-1FA4AA97C60E}"/>
            </c:ext>
          </c:extLst>
        </c:ser>
        <c:ser>
          <c:idx val="1"/>
          <c:order val="1"/>
          <c:tx>
            <c:strRef>
              <c:f>PyG!$B$99</c:f>
              <c:strCache>
                <c:ptCount val="1"/>
                <c:pt idx="0">
                  <c:v>Margen Bruto Negocios Internos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PyG!$L$4:$W$4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PyG!$M$99:$X$99</c:f>
              <c:numCache>
                <c:formatCode>0.0%</c:formatCode>
                <c:ptCount val="12"/>
                <c:pt idx="0">
                  <c:v>0.1713404369505388</c:v>
                </c:pt>
                <c:pt idx="1">
                  <c:v>0.15422348285609741</c:v>
                </c:pt>
                <c:pt idx="2">
                  <c:v>0.13552809542525443</c:v>
                </c:pt>
                <c:pt idx="3">
                  <c:v>0.15658249091408089</c:v>
                </c:pt>
                <c:pt idx="4">
                  <c:v>0.15805855035593308</c:v>
                </c:pt>
                <c:pt idx="5">
                  <c:v>0.15981555670933556</c:v>
                </c:pt>
                <c:pt idx="6">
                  <c:v>0.15993349330107237</c:v>
                </c:pt>
                <c:pt idx="7">
                  <c:v>0.16004624153430644</c:v>
                </c:pt>
                <c:pt idx="8">
                  <c:v>0.15993565346795655</c:v>
                </c:pt>
                <c:pt idx="9">
                  <c:v>0.16004187740928341</c:v>
                </c:pt>
                <c:pt idx="10">
                  <c:v>0.16025853415799807</c:v>
                </c:pt>
                <c:pt idx="11">
                  <c:v>0.1611052818204434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8-DC42-8583-1FA4AA97C60E}"/>
            </c:ext>
          </c:extLst>
        </c:ser>
        <c:ser>
          <c:idx val="3"/>
          <c:order val="2"/>
          <c:tx>
            <c:strRef>
              <c:f>PyG!$B$117</c:f>
              <c:strCache>
                <c:ptCount val="1"/>
                <c:pt idx="0">
                  <c:v>Gastos/Ventas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PyG!$L$4:$W$4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PyG!$L$117:$W$117</c:f>
              <c:numCache>
                <c:formatCode>0.00%</c:formatCode>
                <c:ptCount val="12"/>
                <c:pt idx="0">
                  <c:v>8.7930184648688778E-2</c:v>
                </c:pt>
                <c:pt idx="1">
                  <c:v>0.11802478663488968</c:v>
                </c:pt>
                <c:pt idx="2">
                  <c:v>9.04678382411193E-2</c:v>
                </c:pt>
                <c:pt idx="3">
                  <c:v>6.7813425534977739E-2</c:v>
                </c:pt>
                <c:pt idx="4">
                  <c:v>5.8466324072630443E-2</c:v>
                </c:pt>
                <c:pt idx="5">
                  <c:v>4.7443645470654862E-2</c:v>
                </c:pt>
                <c:pt idx="6">
                  <c:v>4.4190078938380145E-2</c:v>
                </c:pt>
                <c:pt idx="7">
                  <c:v>4.2782471026959187E-2</c:v>
                </c:pt>
                <c:pt idx="8">
                  <c:v>4.0936971994721578E-2</c:v>
                </c:pt>
                <c:pt idx="9">
                  <c:v>3.9936085238698488E-2</c:v>
                </c:pt>
                <c:pt idx="10">
                  <c:v>3.9031520683956475E-2</c:v>
                </c:pt>
                <c:pt idx="11">
                  <c:v>3.8637220759276572E-2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8-DC42-8583-1FA4AA97C60E}"/>
            </c:ext>
          </c:extLst>
        </c:ser>
        <c:ser>
          <c:idx val="4"/>
          <c:order val="3"/>
          <c:tx>
            <c:strRef>
              <c:f>PyG!$B$143</c:f>
              <c:strCache>
                <c:ptCount val="1"/>
                <c:pt idx="0">
                  <c:v>Margen Operativo sin recurrentes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PyG!$L$4:$W$4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PyG!$L$143:$W$143</c:f>
              <c:numCache>
                <c:formatCode>0.0%</c:formatCode>
                <c:ptCount val="12"/>
                <c:pt idx="0">
                  <c:v>2.7802027251054165E-3</c:v>
                </c:pt>
                <c:pt idx="1">
                  <c:v>-5.7349194085606188E-2</c:v>
                </c:pt>
                <c:pt idx="2">
                  <c:v>-2.1079534731981958E-2</c:v>
                </c:pt>
                <c:pt idx="3">
                  <c:v>1.9862548239400139E-2</c:v>
                </c:pt>
                <c:pt idx="4">
                  <c:v>2.9093075719731937E-2</c:v>
                </c:pt>
                <c:pt idx="5">
                  <c:v>4.3949518869127437E-2</c:v>
                </c:pt>
                <c:pt idx="6">
                  <c:v>5.1816176659180958E-2</c:v>
                </c:pt>
                <c:pt idx="7">
                  <c:v>5.4327448793634346E-2</c:v>
                </c:pt>
                <c:pt idx="8">
                  <c:v>5.8157335189246567E-2</c:v>
                </c:pt>
                <c:pt idx="9">
                  <c:v>5.9610706067201535E-2</c:v>
                </c:pt>
                <c:pt idx="10">
                  <c:v>6.0916636980394741E-2</c:v>
                </c:pt>
                <c:pt idx="11">
                  <c:v>6.2115058303052952E-2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8-DC42-8583-1FA4AA97C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963000"/>
        <c:axId val="2096966392"/>
      </c:lineChart>
      <c:catAx>
        <c:axId val="209696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966392"/>
        <c:crosses val="autoZero"/>
        <c:auto val="1"/>
        <c:lblAlgn val="ctr"/>
        <c:lblOffset val="100"/>
        <c:noMultiLvlLbl val="0"/>
      </c:catAx>
      <c:valAx>
        <c:axId val="209696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963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Venta de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'Venta Activos'!$B$6</c:f>
              <c:strCache>
                <c:ptCount val="1"/>
                <c:pt idx="0">
                  <c:v>Túnel de Oriente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'Venta Activos'!$H$4:$N$4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 formatCode="0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'Venta Activos'!$H$6:$N$6</c:f>
              <c:numCache>
                <c:formatCode>_(* #,##0_);_(* \(#,##0\);_(* "-"_);_(@_)</c:formatCode>
                <c:ptCount val="7"/>
                <c:pt idx="0">
                  <c:v>31361.042799999999</c:v>
                </c:pt>
                <c:pt idx="1">
                  <c:v>28334.071838899999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F-3045-9CDD-AA690D210078}"/>
            </c:ext>
          </c:extLst>
        </c:ser>
        <c:ser>
          <c:idx val="2"/>
          <c:order val="1"/>
          <c:tx>
            <c:strRef>
              <c:f>'Venta Activos'!$B$15</c:f>
              <c:strCache>
                <c:ptCount val="1"/>
                <c:pt idx="0">
                  <c:v>Lote Amazonika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'Venta Activos'!$H$4:$N$4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 formatCode="0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'Venta Activos'!$H$15:$N$15</c:f>
              <c:numCache>
                <c:formatCode>_(* #,##0_);_(* \(#,##0\);_(* "-"_);_(@_)</c:formatCode>
                <c:ptCount val="7"/>
                <c:pt idx="0">
                  <c:v>2767.6604366785</c:v>
                </c:pt>
                <c:pt idx="1">
                  <c:v>6306.6360770214997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F-3045-9CDD-AA690D210078}"/>
            </c:ext>
          </c:extLst>
        </c:ser>
        <c:ser>
          <c:idx val="3"/>
          <c:order val="2"/>
          <c:tx>
            <c:strRef>
              <c:f>'Venta Activos'!$B$21</c:f>
              <c:strCache>
                <c:ptCount val="1"/>
                <c:pt idx="0">
                  <c:v>Oficinas Square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'Venta Activos'!$H$4:$N$4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 formatCode="0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'Venta Activos'!$H$21:$N$21</c:f>
              <c:numCache>
                <c:formatCode>_(* #,##0_);_(* \(#,##0\);_(* "-"_);_(@_)</c:formatCode>
                <c:ptCount val="7"/>
                <c:pt idx="0">
                  <c:v>6234.6458997099999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7F-3045-9CDD-AA690D210078}"/>
            </c:ext>
          </c:extLst>
        </c:ser>
        <c:ser>
          <c:idx val="4"/>
          <c:order val="3"/>
          <c:tx>
            <c:strRef>
              <c:f>'Venta Activos'!$B$28</c:f>
              <c:strCache>
                <c:ptCount val="1"/>
                <c:pt idx="0">
                  <c:v>Lote Girardota (Bucaros)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'Venta Activos'!$H$4:$N$4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 formatCode="0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'Venta Activos'!$H$28:$N$28</c:f>
              <c:numCache>
                <c:formatCode>_(* #,##0_);_(* \(#,##0\);_(* "-"_);_(@_)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2699.1078984999999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F-3045-9CDD-AA690D210078}"/>
            </c:ext>
          </c:extLst>
        </c:ser>
        <c:ser>
          <c:idx val="5"/>
          <c:order val="4"/>
          <c:tx>
            <c:strRef>
              <c:f>'Venta Activos'!$B$35</c:f>
              <c:strCache>
                <c:ptCount val="1"/>
                <c:pt idx="0">
                  <c:v>Lote Bello (Amazonika 2)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'Venta Activos'!$H$4:$N$4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 formatCode="0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'Venta Activos'!$H$35:$N$35</c:f>
              <c:numCache>
                <c:formatCode>_(* #,##0_);_(* \(#,##0\);_(* "-"_);_(@_)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2912.4433333333336</c:v>
                </c:pt>
                <c:pt idx="5">
                  <c:v>2591.876666666667</c:v>
                </c:pt>
                <c:pt idx="6">
                  <c:v>3233.01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7F-3045-9CDD-AA690D210078}"/>
            </c:ext>
          </c:extLst>
        </c:ser>
        <c:ser>
          <c:idx val="6"/>
          <c:order val="5"/>
          <c:tx>
            <c:strRef>
              <c:f>'Venta Activos'!$B$42</c:f>
              <c:strCache>
                <c:ptCount val="1"/>
                <c:pt idx="0">
                  <c:v>Futuras ampliaciones Calima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'Venta Activos'!$H$4:$N$4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 formatCode="0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'Venta Activos'!$H$42:$N$42</c:f>
              <c:numCache>
                <c:formatCode>_(* #,##0_);_(* \(#,##0\);_(* "-"_);_(@_)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6811.5268679999999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7F-3045-9CDD-AA690D210078}"/>
            </c:ext>
          </c:extLst>
        </c:ser>
        <c:ser>
          <c:idx val="7"/>
          <c:order val="6"/>
          <c:tx>
            <c:strRef>
              <c:f>'Venta Activos'!$B$49</c:f>
              <c:strCache>
                <c:ptCount val="1"/>
                <c:pt idx="0">
                  <c:v>Centro Comercial Calima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'Venta Activos'!$H$4:$N$4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 formatCode="0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'Venta Activos'!$H$49:$N$49</c:f>
              <c:numCache>
                <c:formatCode>_(* #,##0_);_(* \(#,##0\);_(* "-"_);_(@_)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5179.4305216299981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7F-3045-9CDD-AA690D210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7050296"/>
        <c:axId val="2097053512"/>
      </c:barChart>
      <c:catAx>
        <c:axId val="209705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7053512"/>
        <c:crosses val="autoZero"/>
        <c:auto val="1"/>
        <c:lblAlgn val="ctr"/>
        <c:lblOffset val="100"/>
        <c:noMultiLvlLbl val="0"/>
      </c:catAx>
      <c:valAx>
        <c:axId val="209705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7050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2400"/>
              <a:t>Flujo Caja Proyecto Inmobiliario tipico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'Proyectos Inmob detall'!$G$631:$N$631</c:f>
              <c:numCache>
                <c:formatCode>#,##0</c:formatCode>
                <c:ptCount val="8"/>
                <c:pt idx="0">
                  <c:v>-1400</c:v>
                </c:pt>
                <c:pt idx="1">
                  <c:v>-400</c:v>
                </c:pt>
                <c:pt idx="2">
                  <c:v>104.46836400000001</c:v>
                </c:pt>
                <c:pt idx="3">
                  <c:v>1423.2418200000002</c:v>
                </c:pt>
                <c:pt idx="4">
                  <c:v>2975.1321123999996</c:v>
                </c:pt>
                <c:pt idx="5">
                  <c:v>1947.8004015999998</c:v>
                </c:pt>
                <c:pt idx="6">
                  <c:v>3557.2766515999997</c:v>
                </c:pt>
                <c:pt idx="7">
                  <c:v>795.32499999999993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F-8D41-AF4E-2257E09CC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7103352"/>
        <c:axId val="2097109496"/>
      </c:barChart>
      <c:catAx>
        <c:axId val="2097103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600"/>
                  <a:t>Año</a:t>
                </a:r>
              </a:p>
            </c:rich>
          </c:tx>
          <c:layout>
            <c:manualLayout>
              <c:xMode val="edge"/>
              <c:yMode val="edge"/>
              <c:x val="0.56038700358150695"/>
              <c:y val="0.710330373174518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7109496"/>
        <c:crosses val="autoZero"/>
        <c:auto val="1"/>
        <c:lblAlgn val="ctr"/>
        <c:lblOffset val="100"/>
        <c:noMultiLvlLbl val="0"/>
      </c:catAx>
      <c:valAx>
        <c:axId val="209710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600"/>
                  <a:t>Valor (millones Col$)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7103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/>
              </a:rPr>
              <a:t>Flujo Caja Operativo (Sin Inversiones)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'Flujo Caja'!$B$13</c:f>
              <c:strCache>
                <c:ptCount val="1"/>
                <c:pt idx="0">
                  <c:v>FC AIA Negocios Externamente Generados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Caja'!$H$13:$V$13</c:f>
              <c:numCache>
                <c:formatCode>_(* #,##0_);_(* \(#,##0\);_(* "-"_);_(@_)</c:formatCode>
                <c:ptCount val="15"/>
                <c:pt idx="0">
                  <c:v>4770.0169999999989</c:v>
                </c:pt>
                <c:pt idx="1">
                  <c:v>3385.7291200000009</c:v>
                </c:pt>
                <c:pt idx="2">
                  <c:v>9156.3056447999988</c:v>
                </c:pt>
                <c:pt idx="3">
                  <c:v>8377.729103231999</c:v>
                </c:pt>
                <c:pt idx="4">
                  <c:v>13238.971850209276</c:v>
                </c:pt>
                <c:pt idx="5">
                  <c:v>19020.328768377658</c:v>
                </c:pt>
                <c:pt idx="6">
                  <c:v>20323.864507162165</c:v>
                </c:pt>
                <c:pt idx="7">
                  <c:v>21719.31238675032</c:v>
                </c:pt>
                <c:pt idx="8">
                  <c:v>23213.263290494833</c:v>
                </c:pt>
                <c:pt idx="9">
                  <c:v>24812.785304147474</c:v>
                </c:pt>
                <c:pt idx="10">
                  <c:v>27035.381292288512</c:v>
                </c:pt>
                <c:pt idx="11">
                  <c:v>37828.019039185856</c:v>
                </c:pt>
                <c:pt idx="12">
                  <c:v>29753.030924313367</c:v>
                </c:pt>
                <c:pt idx="13">
                  <c:v>31814.538666380467</c:v>
                </c:pt>
                <c:pt idx="14">
                  <c:v>34022.361921223623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5-7F46-9A0F-499FC801301B}"/>
            </c:ext>
          </c:extLst>
        </c:ser>
        <c:ser>
          <c:idx val="1"/>
          <c:order val="1"/>
          <c:tx>
            <c:strRef>
              <c:f>'Flujo Caja'!$B$19</c:f>
              <c:strCache>
                <c:ptCount val="1"/>
                <c:pt idx="0">
                  <c:v>FC AIA Negocios internamente Generados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'Flujo Caja'!$H$5:$V$5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'Flujo Caja'!$H$19:$V$19</c:f>
              <c:numCache>
                <c:formatCode>_(* #,##0_);_(* \(#,##0\);_(* "-"_);_(@_)</c:formatCode>
                <c:ptCount val="15"/>
                <c:pt idx="0">
                  <c:v>1747.0416528711085</c:v>
                </c:pt>
                <c:pt idx="1">
                  <c:v>4877.2304821907228</c:v>
                </c:pt>
                <c:pt idx="2">
                  <c:v>8353.3460447268117</c:v>
                </c:pt>
                <c:pt idx="3">
                  <c:v>6159.4405199121993</c:v>
                </c:pt>
                <c:pt idx="4">
                  <c:v>9307.814115022089</c:v>
                </c:pt>
                <c:pt idx="5">
                  <c:v>18477.995529145679</c:v>
                </c:pt>
                <c:pt idx="6">
                  <c:v>22460.501550910474</c:v>
                </c:pt>
                <c:pt idx="7">
                  <c:v>27316.224897657648</c:v>
                </c:pt>
                <c:pt idx="8">
                  <c:v>31046.397759395637</c:v>
                </c:pt>
                <c:pt idx="9">
                  <c:v>34256.565961455126</c:v>
                </c:pt>
                <c:pt idx="10">
                  <c:v>37559.320941774728</c:v>
                </c:pt>
                <c:pt idx="11">
                  <c:v>53535.516190492206</c:v>
                </c:pt>
                <c:pt idx="12">
                  <c:v>45772.173186559507</c:v>
                </c:pt>
                <c:pt idx="13">
                  <c:v>41501.723287250359</c:v>
                </c:pt>
                <c:pt idx="14">
                  <c:v>42691.664272973314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5-7F46-9A0F-499FC801301B}"/>
            </c:ext>
          </c:extLst>
        </c:ser>
        <c:ser>
          <c:idx val="2"/>
          <c:order val="2"/>
          <c:tx>
            <c:strRef>
              <c:f>'Flujo Caja'!$B$27</c:f>
              <c:strCache>
                <c:ptCount val="1"/>
                <c:pt idx="0">
                  <c:v>FC Gastos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'Flujo Caja'!$H$27:$V$27</c:f>
              <c:numCache>
                <c:formatCode>_(* #,##0_);_(* \(#,##0\);_(* "-"_);_(@_)</c:formatCode>
                <c:ptCount val="15"/>
                <c:pt idx="0">
                  <c:v>-16263.453388247181</c:v>
                </c:pt>
                <c:pt idx="1">
                  <c:v>-17306.496715378718</c:v>
                </c:pt>
                <c:pt idx="2">
                  <c:v>-18417.122992058397</c:v>
                </c:pt>
                <c:pt idx="3">
                  <c:v>-19133.740785894042</c:v>
                </c:pt>
                <c:pt idx="4">
                  <c:v>-20701.741714367901</c:v>
                </c:pt>
                <c:pt idx="5">
                  <c:v>-22006.138205038013</c:v>
                </c:pt>
                <c:pt idx="6">
                  <c:v>-24735.991629317421</c:v>
                </c:pt>
                <c:pt idx="7">
                  <c:v>-32996.99343232852</c:v>
                </c:pt>
                <c:pt idx="8">
                  <c:v>-36515.857865722894</c:v>
                </c:pt>
                <c:pt idx="9">
                  <c:v>-39711.878434413127</c:v>
                </c:pt>
                <c:pt idx="10">
                  <c:v>-42608.836367791722</c:v>
                </c:pt>
                <c:pt idx="11">
                  <c:v>-43444.762304516335</c:v>
                </c:pt>
                <c:pt idx="12">
                  <c:v>-45266.089515502477</c:v>
                </c:pt>
                <c:pt idx="13">
                  <c:v>-47404.123429257961</c:v>
                </c:pt>
                <c:pt idx="14">
                  <c:v>-49947.046616764463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45-7F46-9A0F-499FC8013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96493000"/>
        <c:axId val="2096488552"/>
      </c:barChart>
      <c:lineChart>
        <c:grouping val="standard"/>
        <c:varyColors val="0"/>
        <c:ser>
          <c:idx val="3"/>
          <c:order val="3"/>
          <c:tx>
            <c:strRef>
              <c:f>'Flujo Caja'!$B$28</c:f>
              <c:strCache>
                <c:ptCount val="1"/>
                <c:pt idx="0">
                  <c:v>FC Operativo 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'Flujo Caja'!$H$28:$V$28</c:f>
              <c:numCache>
                <c:formatCode>_(* #,##0_);_(* \(#,##0\);_(* "-"_);_(@_)</c:formatCode>
                <c:ptCount val="15"/>
                <c:pt idx="0">
                  <c:v>-9746.3947353760741</c:v>
                </c:pt>
                <c:pt idx="1">
                  <c:v>-9043.5371131879929</c:v>
                </c:pt>
                <c:pt idx="2">
                  <c:v>-907.47130253158844</c:v>
                </c:pt>
                <c:pt idx="3">
                  <c:v>-4596.5711627498458</c:v>
                </c:pt>
                <c:pt idx="4">
                  <c:v>1845.0442508634624</c:v>
                </c:pt>
                <c:pt idx="5">
                  <c:v>15492.186092485324</c:v>
                </c:pt>
                <c:pt idx="6">
                  <c:v>18048.374428755222</c:v>
                </c:pt>
                <c:pt idx="7">
                  <c:v>16038.543852079447</c:v>
                </c:pt>
                <c:pt idx="8">
                  <c:v>17743.803184167577</c:v>
                </c:pt>
                <c:pt idx="9">
                  <c:v>19357.472831189469</c:v>
                </c:pt>
                <c:pt idx="10">
                  <c:v>21985.865866271521</c:v>
                </c:pt>
                <c:pt idx="11">
                  <c:v>47918.772925161727</c:v>
                </c:pt>
                <c:pt idx="12">
                  <c:v>30259.114595370396</c:v>
                </c:pt>
                <c:pt idx="13">
                  <c:v>25912.138524372869</c:v>
                </c:pt>
                <c:pt idx="14">
                  <c:v>26766.979577432478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45-7F46-9A0F-499FC8013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493000"/>
        <c:axId val="2096488552"/>
      </c:lineChart>
      <c:catAx>
        <c:axId val="209649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488552"/>
        <c:crosses val="autoZero"/>
        <c:auto val="1"/>
        <c:lblAlgn val="ctr"/>
        <c:lblOffset val="100"/>
        <c:noMultiLvlLbl val="0"/>
      </c:catAx>
      <c:valAx>
        <c:axId val="209648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493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</cx:f>
      </cx:strDim>
      <cx:numDim type="val">
        <cx:f dir="row">_xlchart.v1.2</cx:f>
      </cx:numDim>
    </cx:data>
  </cx:chartData>
  <cx:chart>
    <cx:title pos="t" align="ctr" overlay="0">
      <cx:tx>
        <cx:txData>
          <cx:v>Real - Backlog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2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US" sz="2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/>
            </a:rPr>
            <a:t>Real - Backlog</a:t>
          </a:r>
        </a:p>
      </cx:txPr>
    </cx:title>
    <cx:plotArea>
      <cx:plotAreaRegion>
        <cx:series layoutId="waterfall" uniqueId="{F996DA9D-6D1E-7740-BFCA-EB6835527879}" formatIdx="0">
          <cx:tx>
            <cx:txData>
              <cx:f>_xlchart.v1.0</cx:f>
              <cx:v>Neg Int - Backlog</cx:v>
            </cx:txData>
          </cx:tx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80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80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/>
  <sheetViews>
    <sheetView zoomScale="80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/>
  <sheetViews>
    <sheetView zoomScale="147" workbookViewId="0" zoomToFit="1"/>
  </sheetViews>
  <pageMargins left="0.75" right="0.75" top="1" bottom="1" header="0.5" footer="0.5"/>
  <pageSetup orientation="landscape" horizontalDpi="0" verticalDpi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/>
  <sheetViews>
    <sheetView zoomScale="147" workbookViewId="0" zoomToFit="1"/>
  </sheetViews>
  <pageMargins left="0.75" right="0.75" top="1" bottom="1" header="0.5" footer="0.5"/>
  <pageSetup orientation="landscape" horizontalDpi="0" verticalDpi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46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146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146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zoomScale="146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147" workbookViewId="0" zoomToFit="1"/>
  </sheetViews>
  <pageMargins left="0.7" right="0.7" top="0.75" bottom="0.75" header="0.3" footer="0.3"/>
  <pageSetup orientation="landscape" horizontalDpi="0" verticalDpi="0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4631" cy="5830067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C42E142-62CA-0843-B9D1-6E83CC64C7E4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5C3EFD-953D-9D45-8F19-52ECBFF1E2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A7B1A6-278D-9B4B-9D29-E2AF155E793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03A6FA-D7B2-FB41-B34E-6EAA144493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5C54D4-8F9A-DB42-979D-B4FBD08B69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A3548C12-D586-1948-83C2-1257799B854B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8574631" cy="5830067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es-ES_tradnl" sz="1100"/>
            <a:t>Este gráfico no está disponible en su versión de Excel.
Si edita esta forma o guarda el libro en un formato de archivo diferente, el gráfico no se podrá utilizar.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4631" cy="58300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EA087-1C62-EF4E-A784-EA94351F90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631" cy="58300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95EE30-11A0-CA42-A696-C53445901B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68151" cy="58280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954AC9-BA9B-544E-AF53-6A518A4F29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8151" cy="58280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1B0BD5-998F-854E-937B-314CF6FB9D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8151" cy="58280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39D0CA-7113-4B46-8EE5-CDD31DCDC0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8151" cy="58280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285B5B-DDA5-134E-B98B-6448A94511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0340" cy="58229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102"/>
  <sheetViews>
    <sheetView topLeftCell="A2" zoomScale="125" zoomScaleNormal="125" zoomScalePageLayoutView="125" workbookViewId="0">
      <pane xSplit="1" ySplit="3" topLeftCell="B5" activePane="bottomRight" state="frozen"/>
      <selection activeCell="C38" sqref="C38:C40"/>
      <selection pane="topRight" activeCell="C38" sqref="C38:C40"/>
      <selection pane="bottomLeft" activeCell="C38" sqref="C38:C40"/>
      <selection pane="bottomRight" activeCell="B17" sqref="B17"/>
    </sheetView>
  </sheetViews>
  <sheetFormatPr baseColWidth="10" defaultRowHeight="16"/>
  <cols>
    <col min="1" max="1" width="41.6640625" customWidth="1"/>
    <col min="3" max="3" width="16.1640625" bestFit="1" customWidth="1"/>
  </cols>
  <sheetData>
    <row r="2" spans="1:33" ht="26">
      <c r="A2" s="291" t="s">
        <v>606</v>
      </c>
      <c r="B2" s="291"/>
      <c r="C2" s="291"/>
      <c r="D2" s="291"/>
      <c r="E2" s="220"/>
      <c r="F2" s="220"/>
      <c r="G2" s="220"/>
      <c r="H2" s="220"/>
    </row>
    <row r="4" spans="1:33">
      <c r="G4">
        <v>2019</v>
      </c>
      <c r="H4">
        <v>2020</v>
      </c>
      <c r="I4">
        <v>2021</v>
      </c>
      <c r="J4">
        <v>2022</v>
      </c>
      <c r="K4">
        <v>2023</v>
      </c>
      <c r="L4">
        <v>2024</v>
      </c>
      <c r="M4">
        <v>2025</v>
      </c>
      <c r="N4">
        <v>2026</v>
      </c>
      <c r="O4">
        <v>2027</v>
      </c>
      <c r="P4">
        <v>2028</v>
      </c>
      <c r="Q4">
        <v>2029</v>
      </c>
      <c r="R4">
        <v>2030</v>
      </c>
      <c r="S4">
        <v>2031</v>
      </c>
      <c r="T4">
        <v>2032</v>
      </c>
      <c r="U4">
        <v>2033</v>
      </c>
      <c r="V4">
        <v>2034</v>
      </c>
      <c r="W4">
        <v>2035</v>
      </c>
      <c r="X4">
        <v>2036</v>
      </c>
      <c r="Y4">
        <v>2037</v>
      </c>
      <c r="Z4">
        <v>2038</v>
      </c>
      <c r="AA4">
        <v>2039</v>
      </c>
      <c r="AB4">
        <v>2040</v>
      </c>
      <c r="AC4">
        <v>2041</v>
      </c>
      <c r="AD4">
        <v>2042</v>
      </c>
      <c r="AE4">
        <v>2043</v>
      </c>
      <c r="AF4">
        <v>2044</v>
      </c>
      <c r="AG4">
        <v>2045</v>
      </c>
    </row>
    <row r="5" spans="1:33">
      <c r="A5" t="s">
        <v>35</v>
      </c>
      <c r="G5" s="203">
        <v>3.2000000000000001E-2</v>
      </c>
      <c r="H5" s="203">
        <v>0</v>
      </c>
      <c r="I5" s="203">
        <v>3.2000000000000001E-2</v>
      </c>
      <c r="J5" s="203">
        <f t="shared" ref="J5:Q5" si="0">+I5</f>
        <v>3.2000000000000001E-2</v>
      </c>
      <c r="K5" s="203">
        <f t="shared" si="0"/>
        <v>3.2000000000000001E-2</v>
      </c>
      <c r="L5" s="203">
        <v>0.01</v>
      </c>
      <c r="M5" s="203">
        <f>+K5</f>
        <v>3.2000000000000001E-2</v>
      </c>
      <c r="N5" s="203">
        <f t="shared" si="0"/>
        <v>3.2000000000000001E-2</v>
      </c>
      <c r="O5" s="203">
        <f t="shared" si="0"/>
        <v>3.2000000000000001E-2</v>
      </c>
      <c r="P5" s="203">
        <f t="shared" si="0"/>
        <v>3.2000000000000001E-2</v>
      </c>
      <c r="Q5" s="203">
        <f t="shared" si="0"/>
        <v>3.2000000000000001E-2</v>
      </c>
      <c r="R5" s="203">
        <f>+L5</f>
        <v>0.01</v>
      </c>
      <c r="S5" s="203">
        <f t="shared" ref="S5:AD5" si="1">+M5</f>
        <v>3.2000000000000001E-2</v>
      </c>
      <c r="T5" s="203">
        <f t="shared" si="1"/>
        <v>3.2000000000000001E-2</v>
      </c>
      <c r="U5" s="203">
        <f t="shared" si="1"/>
        <v>3.2000000000000001E-2</v>
      </c>
      <c r="V5" s="203">
        <f t="shared" si="1"/>
        <v>3.2000000000000001E-2</v>
      </c>
      <c r="W5" s="203">
        <f t="shared" si="1"/>
        <v>3.2000000000000001E-2</v>
      </c>
      <c r="X5" s="203">
        <f t="shared" si="1"/>
        <v>0.01</v>
      </c>
      <c r="Y5" s="203">
        <f t="shared" si="1"/>
        <v>3.2000000000000001E-2</v>
      </c>
      <c r="Z5" s="203">
        <f t="shared" si="1"/>
        <v>3.2000000000000001E-2</v>
      </c>
      <c r="AA5" s="203">
        <f t="shared" si="1"/>
        <v>3.2000000000000001E-2</v>
      </c>
      <c r="AB5" s="203">
        <f t="shared" si="1"/>
        <v>3.2000000000000001E-2</v>
      </c>
      <c r="AC5" s="203">
        <f t="shared" si="1"/>
        <v>3.2000000000000001E-2</v>
      </c>
      <c r="AD5" s="203">
        <f t="shared" si="1"/>
        <v>0.01</v>
      </c>
    </row>
    <row r="6" spans="1:33">
      <c r="A6" t="s">
        <v>36</v>
      </c>
      <c r="G6" s="203">
        <v>0.04</v>
      </c>
      <c r="H6" s="203">
        <f>+G6</f>
        <v>0.04</v>
      </c>
      <c r="I6" s="203">
        <f t="shared" ref="I6:AD7" si="2">+H6</f>
        <v>0.04</v>
      </c>
      <c r="J6" s="203">
        <f t="shared" si="2"/>
        <v>0.04</v>
      </c>
      <c r="K6" s="203">
        <f t="shared" si="2"/>
        <v>0.04</v>
      </c>
      <c r="L6" s="203">
        <f t="shared" si="2"/>
        <v>0.04</v>
      </c>
      <c r="M6" s="203">
        <f t="shared" si="2"/>
        <v>0.04</v>
      </c>
      <c r="N6" s="203">
        <f t="shared" si="2"/>
        <v>0.04</v>
      </c>
      <c r="O6" s="203">
        <f t="shared" si="2"/>
        <v>0.04</v>
      </c>
      <c r="P6" s="203">
        <f t="shared" si="2"/>
        <v>0.04</v>
      </c>
      <c r="Q6" s="203">
        <f t="shared" si="2"/>
        <v>0.04</v>
      </c>
      <c r="R6" s="203">
        <f t="shared" si="2"/>
        <v>0.04</v>
      </c>
      <c r="S6" s="203">
        <f t="shared" si="2"/>
        <v>0.04</v>
      </c>
      <c r="T6" s="203">
        <f t="shared" si="2"/>
        <v>0.04</v>
      </c>
      <c r="U6" s="203">
        <f t="shared" si="2"/>
        <v>0.04</v>
      </c>
      <c r="V6" s="203">
        <f t="shared" si="2"/>
        <v>0.04</v>
      </c>
      <c r="W6" s="203">
        <f t="shared" si="2"/>
        <v>0.04</v>
      </c>
      <c r="X6" s="203">
        <f t="shared" si="2"/>
        <v>0.04</v>
      </c>
      <c r="Y6" s="203">
        <f t="shared" si="2"/>
        <v>0.04</v>
      </c>
      <c r="Z6" s="203">
        <f t="shared" si="2"/>
        <v>0.04</v>
      </c>
      <c r="AA6" s="203">
        <f t="shared" si="2"/>
        <v>0.04</v>
      </c>
      <c r="AB6" s="203">
        <f t="shared" si="2"/>
        <v>0.04</v>
      </c>
      <c r="AC6" s="203">
        <f t="shared" si="2"/>
        <v>0.04</v>
      </c>
      <c r="AD6" s="203">
        <f t="shared" si="2"/>
        <v>0.04</v>
      </c>
    </row>
    <row r="7" spans="1:33">
      <c r="A7" t="s">
        <v>324</v>
      </c>
      <c r="G7" s="203">
        <f>+B10</f>
        <v>4.2000000000000003E-2</v>
      </c>
      <c r="H7" s="203">
        <f>+G7</f>
        <v>4.2000000000000003E-2</v>
      </c>
      <c r="I7" s="203">
        <f>+H7</f>
        <v>4.2000000000000003E-2</v>
      </c>
      <c r="J7" s="203">
        <v>4.2000000000000003E-2</v>
      </c>
      <c r="K7" s="203">
        <f>+J7</f>
        <v>4.2000000000000003E-2</v>
      </c>
      <c r="L7" s="203">
        <f t="shared" si="2"/>
        <v>4.2000000000000003E-2</v>
      </c>
      <c r="M7" s="203">
        <v>5.1999999999999998E-2</v>
      </c>
      <c r="N7" s="203">
        <f t="shared" si="2"/>
        <v>5.1999999999999998E-2</v>
      </c>
      <c r="O7" s="203">
        <v>6.2E-2</v>
      </c>
      <c r="P7" s="203">
        <f>+O7</f>
        <v>6.2E-2</v>
      </c>
      <c r="Q7" s="203">
        <f t="shared" si="2"/>
        <v>6.2E-2</v>
      </c>
      <c r="R7" s="203">
        <f t="shared" ref="R7:AD7" si="3">+Q7</f>
        <v>6.2E-2</v>
      </c>
      <c r="S7" s="203">
        <f t="shared" si="3"/>
        <v>6.2E-2</v>
      </c>
      <c r="T7" s="203">
        <f t="shared" si="3"/>
        <v>6.2E-2</v>
      </c>
      <c r="U7" s="203">
        <f t="shared" si="3"/>
        <v>6.2E-2</v>
      </c>
      <c r="V7" s="203">
        <f t="shared" si="3"/>
        <v>6.2E-2</v>
      </c>
      <c r="W7" s="203">
        <f t="shared" si="3"/>
        <v>6.2E-2</v>
      </c>
      <c r="X7" s="203">
        <f t="shared" si="3"/>
        <v>6.2E-2</v>
      </c>
      <c r="Y7" s="203">
        <f t="shared" si="3"/>
        <v>6.2E-2</v>
      </c>
      <c r="Z7" s="203">
        <f t="shared" si="3"/>
        <v>6.2E-2</v>
      </c>
      <c r="AA7" s="203">
        <f t="shared" si="3"/>
        <v>6.2E-2</v>
      </c>
      <c r="AB7" s="203">
        <f t="shared" si="3"/>
        <v>6.2E-2</v>
      </c>
      <c r="AC7" s="203">
        <f t="shared" si="3"/>
        <v>6.2E-2</v>
      </c>
      <c r="AD7" s="203">
        <f t="shared" si="3"/>
        <v>6.2E-2</v>
      </c>
    </row>
    <row r="10" spans="1:33">
      <c r="A10" t="s">
        <v>636</v>
      </c>
      <c r="B10" s="203">
        <v>4.2000000000000003E-2</v>
      </c>
      <c r="C10" s="216">
        <f>+IF(Sensibilidad!D38="IBR",Proyecciones!B10,IF(Sensibilidad!D38=Sensibilidad!C40,Proyecciones!B10+1%,IF(Sensibilidad!D38=Sensibilidad!C41,Proyecciones!B10+2%,IF(Sensibilidad!D38=Sensibilidad!C42,Proyecciones!B10+3%,IF(Sensibilidad!D38=Sensibilidad!C38,Proyecciones!G6,"ojo conejo")))))</f>
        <v>4.2000000000000003E-2</v>
      </c>
    </row>
    <row r="11" spans="1:33">
      <c r="B11" s="203"/>
      <c r="C11" s="216"/>
    </row>
    <row r="12" spans="1:33">
      <c r="A12" t="s">
        <v>325</v>
      </c>
      <c r="G12" s="82">
        <v>0</v>
      </c>
      <c r="H12" s="82">
        <v>0</v>
      </c>
      <c r="I12" s="82">
        <f t="shared" ref="I12:AD12" si="4">+IF(H12=10,10,H12+1)</f>
        <v>1</v>
      </c>
      <c r="J12" s="82">
        <f t="shared" si="4"/>
        <v>2</v>
      </c>
      <c r="K12" s="82">
        <f t="shared" si="4"/>
        <v>3</v>
      </c>
      <c r="L12" s="82">
        <f t="shared" si="4"/>
        <v>4</v>
      </c>
      <c r="M12" s="82">
        <f t="shared" si="4"/>
        <v>5</v>
      </c>
      <c r="N12" s="82">
        <f t="shared" si="4"/>
        <v>6</v>
      </c>
      <c r="O12" s="82">
        <f t="shared" si="4"/>
        <v>7</v>
      </c>
      <c r="P12" s="82">
        <f t="shared" si="4"/>
        <v>8</v>
      </c>
      <c r="Q12" s="82">
        <f t="shared" si="4"/>
        <v>9</v>
      </c>
      <c r="R12" s="82">
        <f t="shared" si="4"/>
        <v>10</v>
      </c>
      <c r="S12" s="82">
        <f t="shared" si="4"/>
        <v>10</v>
      </c>
      <c r="T12" s="82">
        <f t="shared" si="4"/>
        <v>10</v>
      </c>
      <c r="U12" s="82">
        <f t="shared" si="4"/>
        <v>10</v>
      </c>
      <c r="V12" s="82">
        <f t="shared" si="4"/>
        <v>10</v>
      </c>
      <c r="W12" s="82">
        <f t="shared" si="4"/>
        <v>10</v>
      </c>
      <c r="X12" s="82">
        <f t="shared" si="4"/>
        <v>10</v>
      </c>
      <c r="Y12" s="82">
        <f t="shared" si="4"/>
        <v>10</v>
      </c>
      <c r="Z12" s="82">
        <f t="shared" si="4"/>
        <v>10</v>
      </c>
      <c r="AA12" s="82">
        <f t="shared" si="4"/>
        <v>10</v>
      </c>
      <c r="AB12" s="82">
        <f t="shared" si="4"/>
        <v>10</v>
      </c>
      <c r="AC12" s="82">
        <f t="shared" si="4"/>
        <v>10</v>
      </c>
      <c r="AD12" s="82">
        <f t="shared" si="4"/>
        <v>10</v>
      </c>
    </row>
    <row r="14" spans="1:33">
      <c r="A14" t="s">
        <v>326</v>
      </c>
    </row>
    <row r="15" spans="1:33">
      <c r="A15" t="s">
        <v>68</v>
      </c>
      <c r="C15" s="202">
        <v>0.02</v>
      </c>
      <c r="D15" t="s">
        <v>327</v>
      </c>
      <c r="F15">
        <f>+C15*360</f>
        <v>7.2</v>
      </c>
      <c r="G15" t="s">
        <v>329</v>
      </c>
    </row>
    <row r="16" spans="1:33">
      <c r="A16" t="s">
        <v>147</v>
      </c>
      <c r="C16" s="202">
        <v>0.01</v>
      </c>
      <c r="D16" t="s">
        <v>327</v>
      </c>
      <c r="F16">
        <f>+C16*360</f>
        <v>3.6</v>
      </c>
      <c r="G16" t="s">
        <v>329</v>
      </c>
    </row>
    <row r="17" spans="1:26">
      <c r="A17" t="s">
        <v>328</v>
      </c>
      <c r="B17" s="202">
        <v>0.08</v>
      </c>
      <c r="C17" s="212">
        <f>+wc*Sensibilidad!D43</f>
        <v>0.08</v>
      </c>
      <c r="D17" t="s">
        <v>327</v>
      </c>
      <c r="F17">
        <f>+C17*360</f>
        <v>28.8</v>
      </c>
      <c r="G17" t="s">
        <v>329</v>
      </c>
    </row>
    <row r="18" spans="1:26">
      <c r="A18" t="s">
        <v>212</v>
      </c>
      <c r="C18" s="1">
        <f>+C17+C15+C16</f>
        <v>0.11</v>
      </c>
      <c r="F18" s="205">
        <f>+F17+F15+F16</f>
        <v>39.6</v>
      </c>
      <c r="G18" t="s">
        <v>329</v>
      </c>
    </row>
    <row r="20" spans="1:26">
      <c r="A20" t="s">
        <v>342</v>
      </c>
      <c r="C20" s="203">
        <v>2E-3</v>
      </c>
      <c r="D20" t="s">
        <v>2</v>
      </c>
    </row>
    <row r="22" spans="1:26">
      <c r="A22" t="s">
        <v>607</v>
      </c>
    </row>
    <row r="23" spans="1:26">
      <c r="A23" t="str">
        <f>+PyG!B181</f>
        <v>Inmobiliario</v>
      </c>
      <c r="G23" s="202">
        <v>0.12</v>
      </c>
      <c r="H23" s="202">
        <v>0.02</v>
      </c>
      <c r="I23" s="202">
        <v>0.01</v>
      </c>
      <c r="J23" s="202">
        <v>0.01</v>
      </c>
      <c r="K23" s="203">
        <v>0.01</v>
      </c>
      <c r="L23" s="203">
        <v>0.01</v>
      </c>
      <c r="M23" s="203">
        <v>0.05</v>
      </c>
      <c r="N23" s="203">
        <f>+M23</f>
        <v>0.05</v>
      </c>
      <c r="O23" s="203">
        <f t="shared" ref="O23:Z23" si="5">+N23</f>
        <v>0.05</v>
      </c>
      <c r="P23" s="203">
        <f t="shared" si="5"/>
        <v>0.05</v>
      </c>
      <c r="Q23" s="203">
        <f t="shared" si="5"/>
        <v>0.05</v>
      </c>
      <c r="R23" s="203">
        <f t="shared" si="5"/>
        <v>0.05</v>
      </c>
      <c r="S23" s="203">
        <f t="shared" si="5"/>
        <v>0.05</v>
      </c>
      <c r="T23" s="203">
        <f t="shared" si="5"/>
        <v>0.05</v>
      </c>
      <c r="U23" s="203">
        <f t="shared" si="5"/>
        <v>0.05</v>
      </c>
      <c r="V23" s="203">
        <f t="shared" si="5"/>
        <v>0.05</v>
      </c>
      <c r="W23" s="203">
        <f t="shared" si="5"/>
        <v>0.05</v>
      </c>
      <c r="X23" s="203">
        <f t="shared" si="5"/>
        <v>0.05</v>
      </c>
      <c r="Y23" s="203">
        <f t="shared" si="5"/>
        <v>0.05</v>
      </c>
      <c r="Z23" s="203">
        <f t="shared" si="5"/>
        <v>0.05</v>
      </c>
    </row>
    <row r="24" spans="1:26">
      <c r="A24" t="str">
        <f>+PyG!B182</f>
        <v>Arquitectura</v>
      </c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spans="1:26">
      <c r="A25" t="str">
        <f>+PyG!B183</f>
        <v>Preconstrucción</v>
      </c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spans="1:26">
      <c r="A26" t="str">
        <f>+PyG!B184</f>
        <v>Construcción</v>
      </c>
      <c r="G26" s="203">
        <v>0.05</v>
      </c>
      <c r="H26" s="203">
        <v>0</v>
      </c>
      <c r="I26" s="203">
        <v>5.0000000000000001E-3</v>
      </c>
      <c r="J26" s="203">
        <v>5.0000000000000001E-3</v>
      </c>
      <c r="K26" s="203">
        <v>5.0000000000000001E-3</v>
      </c>
      <c r="L26" s="203">
        <v>5.0000000000000001E-3</v>
      </c>
      <c r="M26" s="203">
        <v>0.05</v>
      </c>
      <c r="N26" s="203">
        <f>+M26</f>
        <v>0.05</v>
      </c>
      <c r="O26" s="203">
        <f t="shared" ref="O26:Z26" si="6">+N26</f>
        <v>0.05</v>
      </c>
      <c r="P26" s="203">
        <f t="shared" si="6"/>
        <v>0.05</v>
      </c>
      <c r="Q26" s="203">
        <f t="shared" si="6"/>
        <v>0.05</v>
      </c>
      <c r="R26" s="203">
        <f t="shared" si="6"/>
        <v>0.05</v>
      </c>
      <c r="S26" s="203">
        <f t="shared" si="6"/>
        <v>0.05</v>
      </c>
      <c r="T26" s="203">
        <f t="shared" si="6"/>
        <v>0.05</v>
      </c>
      <c r="U26" s="203">
        <f t="shared" si="6"/>
        <v>0.05</v>
      </c>
      <c r="V26" s="203">
        <f t="shared" si="6"/>
        <v>0.05</v>
      </c>
      <c r="W26" s="203">
        <f t="shared" si="6"/>
        <v>0.05</v>
      </c>
      <c r="X26" s="203">
        <f t="shared" si="6"/>
        <v>0.05</v>
      </c>
      <c r="Y26" s="203">
        <f t="shared" si="6"/>
        <v>0.05</v>
      </c>
      <c r="Z26" s="203">
        <f t="shared" si="6"/>
        <v>0.05</v>
      </c>
    </row>
    <row r="27" spans="1:26">
      <c r="A27" t="str">
        <f>+PyG!B185</f>
        <v>Equipos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>
      <c r="A28" t="str">
        <f>+PyG!B186</f>
        <v>Renta Activos</v>
      </c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</row>
    <row r="29" spans="1:26">
      <c r="A29" t="str">
        <f>+PyG!B187</f>
        <v>Corporativo</v>
      </c>
      <c r="G29" s="203">
        <v>0.05</v>
      </c>
      <c r="H29" s="203">
        <v>0</v>
      </c>
      <c r="I29" s="203">
        <v>5.0000000000000001E-3</v>
      </c>
      <c r="J29" s="203">
        <v>5.0000000000000001E-3</v>
      </c>
      <c r="K29" s="203">
        <v>5.0000000000000001E-3</v>
      </c>
      <c r="L29" s="203">
        <v>5.0000000000000001E-3</v>
      </c>
      <c r="M29" s="203">
        <v>0.05</v>
      </c>
      <c r="N29" s="203">
        <v>0.05</v>
      </c>
      <c r="O29" s="203">
        <v>0.05</v>
      </c>
      <c r="P29" s="203">
        <v>0.05</v>
      </c>
      <c r="Q29" s="203">
        <v>0.05</v>
      </c>
      <c r="R29" s="203">
        <v>0.05</v>
      </c>
      <c r="S29" s="203">
        <v>0.05</v>
      </c>
      <c r="T29" s="203">
        <v>0.05</v>
      </c>
      <c r="U29" s="203">
        <v>0.05</v>
      </c>
      <c r="V29" s="203">
        <v>0.05</v>
      </c>
      <c r="W29" s="203">
        <v>0.05</v>
      </c>
      <c r="X29" s="203">
        <v>0.05</v>
      </c>
      <c r="Y29" s="203">
        <v>0.05</v>
      </c>
      <c r="Z29" s="203">
        <v>0.05</v>
      </c>
    </row>
    <row r="30" spans="1:26">
      <c r="A30" t="str">
        <f>+PyG!B188</f>
        <v>Recuperaciones</v>
      </c>
    </row>
    <row r="32" spans="1:26">
      <c r="A32" t="s">
        <v>605</v>
      </c>
      <c r="E32" s="203">
        <v>7.4999999999999997E-3</v>
      </c>
      <c r="F32" t="s">
        <v>331</v>
      </c>
    </row>
    <row r="33" spans="1:32">
      <c r="A33" t="s">
        <v>647</v>
      </c>
      <c r="E33" s="202">
        <v>0.2</v>
      </c>
    </row>
    <row r="35" spans="1:32">
      <c r="A35" t="s">
        <v>330</v>
      </c>
      <c r="C35" s="202">
        <v>0.33</v>
      </c>
    </row>
    <row r="38" spans="1:32">
      <c r="A38" t="s">
        <v>332</v>
      </c>
      <c r="E38" s="210">
        <v>0.25</v>
      </c>
      <c r="H38" s="357">
        <v>0.1</v>
      </c>
      <c r="I38" s="357">
        <v>0.15</v>
      </c>
      <c r="J38" s="357">
        <v>0.2</v>
      </c>
      <c r="K38" s="357">
        <v>0.25</v>
      </c>
      <c r="L38" s="357">
        <f t="shared" ref="L38:AF38" si="7">+K38</f>
        <v>0.25</v>
      </c>
      <c r="M38" s="357">
        <f t="shared" si="7"/>
        <v>0.25</v>
      </c>
      <c r="N38" s="357">
        <f t="shared" si="7"/>
        <v>0.25</v>
      </c>
      <c r="O38" s="357">
        <f t="shared" si="7"/>
        <v>0.25</v>
      </c>
      <c r="P38" s="357">
        <f t="shared" si="7"/>
        <v>0.25</v>
      </c>
      <c r="Q38" s="357">
        <f t="shared" si="7"/>
        <v>0.25</v>
      </c>
      <c r="R38" s="357">
        <f t="shared" si="7"/>
        <v>0.25</v>
      </c>
      <c r="S38" s="357">
        <f t="shared" si="7"/>
        <v>0.25</v>
      </c>
      <c r="T38" s="357">
        <f t="shared" si="7"/>
        <v>0.25</v>
      </c>
      <c r="U38" s="357">
        <f t="shared" si="7"/>
        <v>0.25</v>
      </c>
      <c r="V38" s="357">
        <f t="shared" si="7"/>
        <v>0.25</v>
      </c>
      <c r="W38" s="357">
        <f t="shared" si="7"/>
        <v>0.25</v>
      </c>
      <c r="X38" s="357">
        <f t="shared" si="7"/>
        <v>0.25</v>
      </c>
      <c r="Y38" s="357">
        <f t="shared" si="7"/>
        <v>0.25</v>
      </c>
      <c r="Z38" s="357">
        <f t="shared" si="7"/>
        <v>0.25</v>
      </c>
      <c r="AA38" s="357">
        <f t="shared" si="7"/>
        <v>0.25</v>
      </c>
      <c r="AB38" s="357">
        <f t="shared" si="7"/>
        <v>0.25</v>
      </c>
      <c r="AC38" s="357">
        <f t="shared" si="7"/>
        <v>0.25</v>
      </c>
      <c r="AD38" s="357">
        <f t="shared" si="7"/>
        <v>0.25</v>
      </c>
      <c r="AE38" s="357">
        <f t="shared" si="7"/>
        <v>0.25</v>
      </c>
      <c r="AF38" s="357">
        <f t="shared" si="7"/>
        <v>0.25</v>
      </c>
    </row>
    <row r="39" spans="1:32">
      <c r="A39" t="s">
        <v>333</v>
      </c>
      <c r="E39" s="210">
        <v>0.06</v>
      </c>
      <c r="H39" s="357">
        <v>0.03</v>
      </c>
      <c r="I39" s="343">
        <v>0.04</v>
      </c>
      <c r="J39" s="343">
        <v>0.06</v>
      </c>
      <c r="K39" s="343">
        <v>0.06</v>
      </c>
      <c r="L39" s="343">
        <v>0.06</v>
      </c>
      <c r="M39" s="343">
        <v>0.06</v>
      </c>
      <c r="N39" s="343">
        <v>0.06</v>
      </c>
      <c r="O39" s="343">
        <v>0.06</v>
      </c>
      <c r="P39" s="343">
        <v>0.06</v>
      </c>
      <c r="Q39" s="343">
        <v>0.06</v>
      </c>
      <c r="R39" s="343">
        <v>0.06</v>
      </c>
      <c r="S39" s="343">
        <v>0.06</v>
      </c>
      <c r="T39" s="343">
        <v>0.06</v>
      </c>
      <c r="U39" s="343">
        <v>0.06</v>
      </c>
      <c r="V39" s="343">
        <v>0.06</v>
      </c>
      <c r="W39" s="343">
        <v>0.06</v>
      </c>
      <c r="X39" s="343">
        <v>0.06</v>
      </c>
      <c r="Y39" s="343">
        <v>0.06</v>
      </c>
      <c r="Z39" s="343">
        <v>0.06</v>
      </c>
      <c r="AA39" s="343">
        <v>0.06</v>
      </c>
      <c r="AB39" s="343">
        <v>0.06</v>
      </c>
      <c r="AC39" s="343">
        <v>0.06</v>
      </c>
      <c r="AD39" s="343">
        <v>0.06</v>
      </c>
      <c r="AE39" s="343">
        <v>0.06</v>
      </c>
      <c r="AF39" s="343">
        <v>0.06</v>
      </c>
    </row>
    <row r="40" spans="1:32">
      <c r="A40" t="s">
        <v>388</v>
      </c>
      <c r="E40" s="219">
        <f>+Sensibilidad!D24</f>
        <v>1</v>
      </c>
      <c r="H40" s="12">
        <f>+E40</f>
        <v>1</v>
      </c>
      <c r="I40" s="12">
        <f>+H40</f>
        <v>1</v>
      </c>
      <c r="J40" s="12">
        <f t="shared" ref="J40:AF40" si="8">+I40</f>
        <v>1</v>
      </c>
      <c r="K40" s="12">
        <f t="shared" si="8"/>
        <v>1</v>
      </c>
      <c r="L40" s="12">
        <f t="shared" si="8"/>
        <v>1</v>
      </c>
      <c r="M40" s="12">
        <f t="shared" si="8"/>
        <v>1</v>
      </c>
      <c r="N40" s="12">
        <f t="shared" si="8"/>
        <v>1</v>
      </c>
      <c r="O40" s="12">
        <f t="shared" si="8"/>
        <v>1</v>
      </c>
      <c r="P40" s="12">
        <f t="shared" si="8"/>
        <v>1</v>
      </c>
      <c r="Q40" s="12">
        <f t="shared" si="8"/>
        <v>1</v>
      </c>
      <c r="R40" s="12">
        <f t="shared" si="8"/>
        <v>1</v>
      </c>
      <c r="S40" s="12">
        <f t="shared" si="8"/>
        <v>1</v>
      </c>
      <c r="T40" s="12">
        <f t="shared" si="8"/>
        <v>1</v>
      </c>
      <c r="U40" s="12">
        <f t="shared" si="8"/>
        <v>1</v>
      </c>
      <c r="V40" s="12">
        <f t="shared" si="8"/>
        <v>1</v>
      </c>
      <c r="W40" s="12">
        <f t="shared" si="8"/>
        <v>1</v>
      </c>
      <c r="X40" s="12">
        <f t="shared" si="8"/>
        <v>1</v>
      </c>
      <c r="Y40" s="12">
        <f t="shared" si="8"/>
        <v>1</v>
      </c>
      <c r="Z40" s="12">
        <f t="shared" si="8"/>
        <v>1</v>
      </c>
      <c r="AA40" s="12">
        <f t="shared" si="8"/>
        <v>1</v>
      </c>
      <c r="AB40" s="12">
        <f t="shared" si="8"/>
        <v>1</v>
      </c>
      <c r="AC40" s="12">
        <f t="shared" si="8"/>
        <v>1</v>
      </c>
      <c r="AD40" s="12">
        <f t="shared" si="8"/>
        <v>1</v>
      </c>
      <c r="AE40" s="12">
        <f t="shared" si="8"/>
        <v>1</v>
      </c>
      <c r="AF40" s="12">
        <f t="shared" si="8"/>
        <v>1</v>
      </c>
    </row>
    <row r="41" spans="1:32">
      <c r="A41" t="s">
        <v>387</v>
      </c>
      <c r="E41" s="214">
        <f>+E39*E40</f>
        <v>0.06</v>
      </c>
      <c r="H41">
        <f>+H40*H39</f>
        <v>0.03</v>
      </c>
      <c r="I41">
        <f t="shared" ref="I41:AF41" si="9">+I40*I39</f>
        <v>0.04</v>
      </c>
      <c r="J41">
        <f t="shared" si="9"/>
        <v>0.06</v>
      </c>
      <c r="K41">
        <f t="shared" si="9"/>
        <v>0.06</v>
      </c>
      <c r="L41">
        <f t="shared" si="9"/>
        <v>0.06</v>
      </c>
      <c r="M41">
        <f t="shared" si="9"/>
        <v>0.06</v>
      </c>
      <c r="N41">
        <f t="shared" si="9"/>
        <v>0.06</v>
      </c>
      <c r="O41">
        <f t="shared" si="9"/>
        <v>0.06</v>
      </c>
      <c r="P41">
        <f t="shared" si="9"/>
        <v>0.06</v>
      </c>
      <c r="Q41">
        <f t="shared" si="9"/>
        <v>0.06</v>
      </c>
      <c r="R41">
        <f t="shared" si="9"/>
        <v>0.06</v>
      </c>
      <c r="S41">
        <f t="shared" si="9"/>
        <v>0.06</v>
      </c>
      <c r="T41">
        <f t="shared" si="9"/>
        <v>0.06</v>
      </c>
      <c r="U41">
        <f t="shared" si="9"/>
        <v>0.06</v>
      </c>
      <c r="V41">
        <f t="shared" si="9"/>
        <v>0.06</v>
      </c>
      <c r="W41">
        <f t="shared" si="9"/>
        <v>0.06</v>
      </c>
      <c r="X41">
        <f t="shared" si="9"/>
        <v>0.06</v>
      </c>
      <c r="Y41">
        <f t="shared" si="9"/>
        <v>0.06</v>
      </c>
      <c r="Z41">
        <f t="shared" si="9"/>
        <v>0.06</v>
      </c>
      <c r="AA41">
        <f t="shared" si="9"/>
        <v>0.06</v>
      </c>
      <c r="AB41">
        <f t="shared" si="9"/>
        <v>0.06</v>
      </c>
      <c r="AC41">
        <f t="shared" si="9"/>
        <v>0.06</v>
      </c>
      <c r="AD41">
        <f t="shared" si="9"/>
        <v>0.06</v>
      </c>
      <c r="AE41">
        <f t="shared" si="9"/>
        <v>0.06</v>
      </c>
      <c r="AF41">
        <f t="shared" si="9"/>
        <v>0.06</v>
      </c>
    </row>
    <row r="42" spans="1:32">
      <c r="A42" t="s">
        <v>346</v>
      </c>
      <c r="E42" s="210">
        <v>0.14000000000000001</v>
      </c>
      <c r="H42" s="343">
        <v>0.04</v>
      </c>
      <c r="I42" s="343">
        <v>0.06</v>
      </c>
      <c r="J42" s="343">
        <v>0.06</v>
      </c>
      <c r="K42" s="343">
        <v>0.06</v>
      </c>
      <c r="L42" s="343">
        <v>0.06</v>
      </c>
      <c r="M42" s="343">
        <v>0.06</v>
      </c>
      <c r="N42" s="343">
        <v>0.06</v>
      </c>
      <c r="O42" s="343">
        <v>0.06</v>
      </c>
      <c r="P42" s="343">
        <v>0.06</v>
      </c>
      <c r="Q42" s="343">
        <v>0.06</v>
      </c>
      <c r="R42" s="343">
        <v>0.06</v>
      </c>
      <c r="S42" s="343">
        <v>0.06</v>
      </c>
      <c r="T42" s="343">
        <v>0.06</v>
      </c>
      <c r="U42" s="343">
        <v>0.06</v>
      </c>
      <c r="V42" s="343">
        <v>0.06</v>
      </c>
      <c r="W42" s="343">
        <v>0.06</v>
      </c>
      <c r="X42" s="343">
        <v>0.06</v>
      </c>
      <c r="Y42" s="343">
        <v>0.06</v>
      </c>
      <c r="Z42" s="343">
        <v>0.06</v>
      </c>
      <c r="AA42" s="343">
        <v>0.06</v>
      </c>
      <c r="AB42" s="343">
        <v>0.06</v>
      </c>
      <c r="AC42" s="343">
        <v>0.06</v>
      </c>
      <c r="AD42" s="343">
        <v>0.06</v>
      </c>
      <c r="AE42" s="343">
        <v>0.06</v>
      </c>
      <c r="AF42" s="343">
        <v>0.06</v>
      </c>
    </row>
    <row r="43" spans="1:32">
      <c r="A43" t="s">
        <v>524</v>
      </c>
      <c r="E43" s="210">
        <v>-0.05</v>
      </c>
      <c r="H43" s="1">
        <v>-0.51500000000000001</v>
      </c>
      <c r="I43" s="1">
        <v>-0.15</v>
      </c>
      <c r="J43" s="1">
        <v>-0.15</v>
      </c>
      <c r="K43" s="1">
        <v>-0.15</v>
      </c>
      <c r="L43" s="1">
        <v>-0.15</v>
      </c>
    </row>
    <row r="44" spans="1:32">
      <c r="A44" t="s">
        <v>372</v>
      </c>
      <c r="E44" s="292">
        <f>+Sensibilidad!D31</f>
        <v>1</v>
      </c>
    </row>
    <row r="45" spans="1:32">
      <c r="A45" t="s">
        <v>373</v>
      </c>
      <c r="E45" s="11">
        <f>+dism_bolsa*('Reg Proy Inmob'!G259+'Reg Proy Inmob'!G260+'Reg Proy Inmob'!G261+'Reg Proy Inmob'!C263+'Reg Proy Inmob'!C264+'Reg Proy Inmob'!C265+'Reg Proy Inmob'!C266)</f>
        <v>0.1646446</v>
      </c>
    </row>
    <row r="47" spans="1:32" ht="32" customHeight="1">
      <c r="A47" s="386" t="s">
        <v>608</v>
      </c>
      <c r="B47" s="386"/>
      <c r="C47" s="386"/>
      <c r="D47" s="386"/>
      <c r="E47" s="386"/>
      <c r="G47">
        <v>2019</v>
      </c>
      <c r="H47">
        <v>2020</v>
      </c>
      <c r="I47">
        <v>2021</v>
      </c>
      <c r="J47">
        <v>2022</v>
      </c>
      <c r="K47">
        <v>2023</v>
      </c>
      <c r="L47">
        <v>2024</v>
      </c>
      <c r="M47">
        <v>2025</v>
      </c>
      <c r="N47">
        <v>2026</v>
      </c>
      <c r="O47">
        <v>2027</v>
      </c>
      <c r="P47">
        <v>2028</v>
      </c>
      <c r="Q47">
        <v>2029</v>
      </c>
      <c r="R47">
        <v>2030</v>
      </c>
      <c r="S47">
        <v>2031</v>
      </c>
      <c r="T47">
        <v>2032</v>
      </c>
      <c r="U47">
        <v>2033</v>
      </c>
      <c r="V47">
        <v>2034</v>
      </c>
      <c r="W47">
        <v>2035</v>
      </c>
      <c r="X47">
        <v>2036</v>
      </c>
      <c r="Y47">
        <v>2037</v>
      </c>
      <c r="Z47">
        <v>2038</v>
      </c>
      <c r="AA47">
        <v>2039</v>
      </c>
      <c r="AB47">
        <v>2040</v>
      </c>
      <c r="AC47">
        <v>2041</v>
      </c>
    </row>
    <row r="48" spans="1:32">
      <c r="A48" s="77" t="s">
        <v>274</v>
      </c>
      <c r="G48" s="82">
        <v>0</v>
      </c>
      <c r="H48" s="82">
        <v>2</v>
      </c>
      <c r="I48" s="82">
        <v>3</v>
      </c>
      <c r="J48" s="82">
        <v>3</v>
      </c>
      <c r="K48" s="82">
        <v>3</v>
      </c>
      <c r="L48" s="82">
        <v>3</v>
      </c>
      <c r="M48" s="82">
        <v>4</v>
      </c>
      <c r="N48" s="82">
        <v>4</v>
      </c>
      <c r="O48" s="82">
        <v>4</v>
      </c>
      <c r="P48" s="82">
        <f>+O48</f>
        <v>4</v>
      </c>
      <c r="Q48" s="82">
        <v>4</v>
      </c>
      <c r="R48" s="82">
        <v>1</v>
      </c>
      <c r="S48" s="82">
        <f>+Q48</f>
        <v>4</v>
      </c>
      <c r="T48" s="82">
        <f>+S48</f>
        <v>4</v>
      </c>
      <c r="U48" s="82">
        <f>+T48</f>
        <v>4</v>
      </c>
      <c r="V48" s="82">
        <f>+U48</f>
        <v>4</v>
      </c>
      <c r="W48" s="82">
        <f>+V48</f>
        <v>4</v>
      </c>
      <c r="X48" s="82">
        <f t="shared" ref="X48:AC48" si="10">+R48</f>
        <v>1</v>
      </c>
      <c r="Y48" s="82">
        <f t="shared" si="10"/>
        <v>4</v>
      </c>
      <c r="Z48" s="82">
        <f t="shared" si="10"/>
        <v>4</v>
      </c>
      <c r="AA48" s="82">
        <f t="shared" si="10"/>
        <v>4</v>
      </c>
      <c r="AB48" s="82">
        <f t="shared" si="10"/>
        <v>4</v>
      </c>
      <c r="AC48" s="82">
        <f t="shared" si="10"/>
        <v>4</v>
      </c>
    </row>
    <row r="49" spans="1:33">
      <c r="A49" s="77" t="s">
        <v>417</v>
      </c>
      <c r="G49" s="169">
        <f>+G48*Sensibilidad!$D$57</f>
        <v>0</v>
      </c>
      <c r="H49" s="169">
        <f>+H48*Sensibilidad!$D$57</f>
        <v>2</v>
      </c>
      <c r="I49" s="169">
        <f>+I48*Sensibilidad!$D$57</f>
        <v>3</v>
      </c>
      <c r="J49" s="169">
        <f>+J48*Sensibilidad!$D$57</f>
        <v>3</v>
      </c>
      <c r="K49" s="169">
        <f>+K48*Sensibilidad!$D$57</f>
        <v>3</v>
      </c>
      <c r="L49" s="169">
        <f>+L48*Sensibilidad!$D$57</f>
        <v>3</v>
      </c>
      <c r="M49" s="169">
        <f>+M48*Sensibilidad!$D$57</f>
        <v>4</v>
      </c>
      <c r="N49" s="169">
        <f>+N48*Sensibilidad!$D$57</f>
        <v>4</v>
      </c>
      <c r="O49" s="169">
        <f>+O48*Sensibilidad!$D$57</f>
        <v>4</v>
      </c>
      <c r="P49" s="169">
        <f>+P48*Sensibilidad!$D$57</f>
        <v>4</v>
      </c>
      <c r="Q49" s="169">
        <f>+Q48*Sensibilidad!$D$57</f>
        <v>4</v>
      </c>
      <c r="R49" s="169">
        <f>+R48*Sensibilidad!$D$57</f>
        <v>1</v>
      </c>
      <c r="S49" s="169">
        <f>+S48*Sensibilidad!$D$57</f>
        <v>4</v>
      </c>
      <c r="T49" s="169">
        <f>+T48*Sensibilidad!$D$57</f>
        <v>4</v>
      </c>
      <c r="U49" s="169">
        <f>+U48*Sensibilidad!$D$57</f>
        <v>4</v>
      </c>
      <c r="V49" s="169">
        <f>+V48*Sensibilidad!$D$57</f>
        <v>4</v>
      </c>
      <c r="W49" s="169">
        <f>+W48*Sensibilidad!$D$57</f>
        <v>4</v>
      </c>
      <c r="X49" s="169">
        <f>+X48*Sensibilidad!$D$57</f>
        <v>1</v>
      </c>
      <c r="Y49" s="169">
        <f>+Y48*Sensibilidad!$D$57</f>
        <v>4</v>
      </c>
      <c r="Z49" s="169">
        <f>+Z48*Sensibilidad!$D$57</f>
        <v>4</v>
      </c>
      <c r="AA49" s="169">
        <f>+AA48*Sensibilidad!$D$57</f>
        <v>4</v>
      </c>
      <c r="AB49" s="169">
        <f>+AB48*Sensibilidad!$D$57</f>
        <v>4</v>
      </c>
      <c r="AC49" s="169">
        <f>+AC48*Sensibilidad!$D$57</f>
        <v>4</v>
      </c>
    </row>
    <row r="50" spans="1:33">
      <c r="A50" s="4" t="s">
        <v>609</v>
      </c>
      <c r="G50" s="169" t="s">
        <v>276</v>
      </c>
      <c r="H50" s="169" t="s">
        <v>276</v>
      </c>
      <c r="I50" s="169" t="s">
        <v>276</v>
      </c>
      <c r="J50" s="169" t="s">
        <v>276</v>
      </c>
      <c r="K50" s="169" t="s">
        <v>276</v>
      </c>
      <c r="L50" s="169" t="s">
        <v>276</v>
      </c>
      <c r="M50" s="169" t="s">
        <v>276</v>
      </c>
      <c r="N50" s="169" t="s">
        <v>276</v>
      </c>
      <c r="O50" s="169" t="s">
        <v>276</v>
      </c>
      <c r="P50" s="169" t="s">
        <v>276</v>
      </c>
      <c r="Q50" s="169" t="s">
        <v>276</v>
      </c>
      <c r="R50" s="169" t="s">
        <v>276</v>
      </c>
      <c r="S50" s="169" t="s">
        <v>276</v>
      </c>
      <c r="T50" s="169" t="s">
        <v>276</v>
      </c>
      <c r="U50" s="169" t="s">
        <v>276</v>
      </c>
      <c r="V50" s="169" t="s">
        <v>276</v>
      </c>
      <c r="W50" s="169" t="s">
        <v>276</v>
      </c>
      <c r="X50" s="169" t="s">
        <v>276</v>
      </c>
      <c r="Y50" s="169" t="s">
        <v>276</v>
      </c>
      <c r="Z50" s="169" t="s">
        <v>276</v>
      </c>
      <c r="AA50" s="169" t="s">
        <v>276</v>
      </c>
      <c r="AB50" s="169" t="s">
        <v>276</v>
      </c>
      <c r="AC50" s="169" t="s">
        <v>276</v>
      </c>
    </row>
    <row r="53" spans="1:33">
      <c r="A53" t="s">
        <v>646</v>
      </c>
      <c r="B53" s="203">
        <v>0.9</v>
      </c>
      <c r="C53" s="12">
        <f>1-B53</f>
        <v>9.9999999999999978E-2</v>
      </c>
    </row>
    <row r="54" spans="1:33">
      <c r="A54" t="s">
        <v>629</v>
      </c>
      <c r="B54" s="358">
        <v>0.1</v>
      </c>
      <c r="C54" s="12">
        <f>1-B54</f>
        <v>0.9</v>
      </c>
    </row>
    <row r="56" spans="1:33">
      <c r="G56">
        <f t="shared" ref="G56:AG56" si="11">+G4</f>
        <v>2019</v>
      </c>
      <c r="H56">
        <f t="shared" si="11"/>
        <v>2020</v>
      </c>
      <c r="I56">
        <f t="shared" si="11"/>
        <v>2021</v>
      </c>
      <c r="J56">
        <f t="shared" si="11"/>
        <v>2022</v>
      </c>
      <c r="K56">
        <f t="shared" si="11"/>
        <v>2023</v>
      </c>
      <c r="L56">
        <f t="shared" si="11"/>
        <v>2024</v>
      </c>
      <c r="M56">
        <f t="shared" si="11"/>
        <v>2025</v>
      </c>
      <c r="N56">
        <f t="shared" si="11"/>
        <v>2026</v>
      </c>
      <c r="O56">
        <f t="shared" si="11"/>
        <v>2027</v>
      </c>
      <c r="P56">
        <f t="shared" si="11"/>
        <v>2028</v>
      </c>
      <c r="Q56">
        <f t="shared" si="11"/>
        <v>2029</v>
      </c>
      <c r="R56">
        <f t="shared" si="11"/>
        <v>2030</v>
      </c>
      <c r="S56">
        <f t="shared" si="11"/>
        <v>2031</v>
      </c>
      <c r="T56">
        <f t="shared" si="11"/>
        <v>2032</v>
      </c>
      <c r="U56">
        <f t="shared" si="11"/>
        <v>2033</v>
      </c>
      <c r="V56">
        <f t="shared" si="11"/>
        <v>2034</v>
      </c>
      <c r="W56">
        <f t="shared" si="11"/>
        <v>2035</v>
      </c>
      <c r="X56">
        <f t="shared" si="11"/>
        <v>2036</v>
      </c>
      <c r="Y56">
        <f t="shared" si="11"/>
        <v>2037</v>
      </c>
      <c r="Z56">
        <f t="shared" si="11"/>
        <v>2038</v>
      </c>
      <c r="AA56">
        <f t="shared" si="11"/>
        <v>2039</v>
      </c>
      <c r="AB56">
        <f t="shared" si="11"/>
        <v>2040</v>
      </c>
      <c r="AC56">
        <f t="shared" si="11"/>
        <v>2041</v>
      </c>
      <c r="AD56">
        <f t="shared" si="11"/>
        <v>2042</v>
      </c>
      <c r="AE56">
        <f t="shared" si="11"/>
        <v>2043</v>
      </c>
      <c r="AF56">
        <f t="shared" si="11"/>
        <v>2044</v>
      </c>
      <c r="AG56">
        <f t="shared" si="11"/>
        <v>2045</v>
      </c>
    </row>
    <row r="57" spans="1:33">
      <c r="A57" t="s">
        <v>334</v>
      </c>
      <c r="D57" s="212"/>
      <c r="G57" s="202">
        <v>1</v>
      </c>
      <c r="H57" s="202">
        <v>1</v>
      </c>
      <c r="I57" s="202">
        <v>1</v>
      </c>
      <c r="J57" s="202">
        <v>1</v>
      </c>
      <c r="K57" s="202">
        <v>1</v>
      </c>
      <c r="L57" s="202">
        <v>1</v>
      </c>
      <c r="M57" s="202">
        <v>1</v>
      </c>
      <c r="N57" s="202">
        <v>1</v>
      </c>
      <c r="O57" s="202">
        <v>1</v>
      </c>
      <c r="P57" s="202">
        <v>1</v>
      </c>
      <c r="Q57" s="202">
        <v>1</v>
      </c>
      <c r="R57" s="202">
        <v>1</v>
      </c>
      <c r="S57" s="202">
        <v>1</v>
      </c>
      <c r="T57" s="202">
        <v>1</v>
      </c>
      <c r="U57" s="202">
        <v>1</v>
      </c>
      <c r="V57" s="202">
        <v>1</v>
      </c>
      <c r="W57" s="202">
        <v>1</v>
      </c>
      <c r="X57" s="202">
        <v>1</v>
      </c>
      <c r="Y57" s="202">
        <v>1</v>
      </c>
      <c r="Z57" s="202">
        <v>1</v>
      </c>
      <c r="AA57" s="202">
        <v>1</v>
      </c>
      <c r="AB57" s="202">
        <v>1</v>
      </c>
      <c r="AC57" s="202">
        <v>1</v>
      </c>
      <c r="AD57" s="202">
        <v>1</v>
      </c>
      <c r="AE57" s="202">
        <v>1</v>
      </c>
      <c r="AF57" s="202">
        <v>1</v>
      </c>
      <c r="AG57" s="202">
        <v>1</v>
      </c>
    </row>
    <row r="58" spans="1:33">
      <c r="A58" t="s">
        <v>380</v>
      </c>
      <c r="D58" s="212"/>
      <c r="G58" s="202" t="s">
        <v>375</v>
      </c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</row>
    <row r="59" spans="1:33">
      <c r="A59" t="s">
        <v>378</v>
      </c>
      <c r="G59" s="213">
        <v>0</v>
      </c>
      <c r="H59" s="213">
        <v>0</v>
      </c>
      <c r="I59" s="213">
        <v>0</v>
      </c>
      <c r="J59" s="213">
        <v>0</v>
      </c>
      <c r="K59" s="213">
        <v>0</v>
      </c>
      <c r="L59" s="213">
        <v>0</v>
      </c>
      <c r="M59" s="213">
        <v>0</v>
      </c>
      <c r="N59" s="213">
        <v>0</v>
      </c>
      <c r="O59" s="213">
        <v>0</v>
      </c>
      <c r="P59" s="213">
        <f t="shared" ref="P59:AG59" si="12">+O59</f>
        <v>0</v>
      </c>
      <c r="Q59" s="213">
        <f t="shared" si="12"/>
        <v>0</v>
      </c>
      <c r="R59" s="213">
        <f t="shared" si="12"/>
        <v>0</v>
      </c>
      <c r="S59" s="213">
        <f t="shared" si="12"/>
        <v>0</v>
      </c>
      <c r="T59" s="213">
        <f t="shared" si="12"/>
        <v>0</v>
      </c>
      <c r="U59" s="213">
        <f t="shared" si="12"/>
        <v>0</v>
      </c>
      <c r="V59" s="213">
        <f t="shared" si="12"/>
        <v>0</v>
      </c>
      <c r="W59" s="213">
        <f t="shared" si="12"/>
        <v>0</v>
      </c>
      <c r="X59" s="213">
        <f t="shared" si="12"/>
        <v>0</v>
      </c>
      <c r="Y59" s="213">
        <f t="shared" si="12"/>
        <v>0</v>
      </c>
      <c r="Z59" s="213">
        <f t="shared" si="12"/>
        <v>0</v>
      </c>
      <c r="AA59" s="213">
        <f t="shared" si="12"/>
        <v>0</v>
      </c>
      <c r="AB59" s="213">
        <f t="shared" si="12"/>
        <v>0</v>
      </c>
      <c r="AC59" s="213">
        <f t="shared" si="12"/>
        <v>0</v>
      </c>
      <c r="AD59" s="213">
        <f t="shared" si="12"/>
        <v>0</v>
      </c>
      <c r="AE59" s="213">
        <f t="shared" si="12"/>
        <v>0</v>
      </c>
      <c r="AF59" s="213">
        <f t="shared" si="12"/>
        <v>0</v>
      </c>
      <c r="AG59" s="213">
        <f t="shared" si="12"/>
        <v>0</v>
      </c>
    </row>
    <row r="60" spans="1:33">
      <c r="A60" t="s">
        <v>381</v>
      </c>
      <c r="G60" s="215" t="s">
        <v>375</v>
      </c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</row>
    <row r="61" spans="1:33">
      <c r="A61" t="s">
        <v>379</v>
      </c>
      <c r="G61" s="213">
        <f>+G59</f>
        <v>0</v>
      </c>
      <c r="H61" s="213">
        <v>0</v>
      </c>
      <c r="I61" s="213">
        <f>+I59</f>
        <v>0</v>
      </c>
      <c r="J61" s="213">
        <v>0</v>
      </c>
      <c r="K61" s="213">
        <v>0</v>
      </c>
      <c r="L61" s="213">
        <v>0</v>
      </c>
      <c r="M61" s="213">
        <v>0</v>
      </c>
      <c r="N61" s="213">
        <v>0</v>
      </c>
      <c r="O61" s="213">
        <v>0</v>
      </c>
      <c r="P61" s="213">
        <v>0</v>
      </c>
      <c r="Q61" s="213">
        <v>0</v>
      </c>
      <c r="R61" s="213">
        <v>0</v>
      </c>
      <c r="S61" s="213">
        <v>0</v>
      </c>
      <c r="T61" s="213">
        <v>0</v>
      </c>
      <c r="U61" s="213">
        <v>0</v>
      </c>
      <c r="V61" s="213">
        <v>0</v>
      </c>
      <c r="W61" s="213">
        <v>0</v>
      </c>
      <c r="X61" s="213">
        <v>0</v>
      </c>
      <c r="Y61" s="213">
        <v>0</v>
      </c>
      <c r="Z61" s="213">
        <v>0</v>
      </c>
      <c r="AA61" s="213">
        <v>0</v>
      </c>
      <c r="AB61" s="213">
        <v>0</v>
      </c>
      <c r="AC61" s="213">
        <v>0</v>
      </c>
      <c r="AD61" s="213">
        <v>0</v>
      </c>
      <c r="AE61" s="213">
        <v>0</v>
      </c>
      <c r="AF61" s="213">
        <v>0</v>
      </c>
      <c r="AG61" s="213">
        <v>0</v>
      </c>
    </row>
    <row r="62" spans="1:33">
      <c r="A62" t="s">
        <v>355</v>
      </c>
      <c r="G62" s="208" t="s">
        <v>414</v>
      </c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</row>
    <row r="64" spans="1:33" ht="33" customHeight="1">
      <c r="A64" s="386" t="s">
        <v>610</v>
      </c>
      <c r="B64" s="386"/>
      <c r="C64" s="386"/>
      <c r="D64" s="202">
        <v>0.65</v>
      </c>
      <c r="P64" s="1"/>
    </row>
    <row r="65" spans="1:16">
      <c r="P65" s="1"/>
    </row>
    <row r="70" spans="1:16">
      <c r="A70" t="s">
        <v>611</v>
      </c>
      <c r="C70" s="169" t="str">
        <f>+Sensibilidad!D64</f>
        <v>No</v>
      </c>
      <c r="D70" t="s">
        <v>374</v>
      </c>
    </row>
    <row r="71" spans="1:16">
      <c r="D71" t="s">
        <v>375</v>
      </c>
    </row>
    <row r="74" spans="1:16">
      <c r="A74" t="s">
        <v>611</v>
      </c>
      <c r="C74" s="169">
        <v>0</v>
      </c>
    </row>
    <row r="77" spans="1:16">
      <c r="A77" t="s">
        <v>611</v>
      </c>
      <c r="C77" s="293">
        <v>2022</v>
      </c>
    </row>
    <row r="79" spans="1:16">
      <c r="A79" t="s">
        <v>420</v>
      </c>
    </row>
    <row r="80" spans="1:16">
      <c r="A80" t="s">
        <v>421</v>
      </c>
      <c r="C80" s="251">
        <v>263894</v>
      </c>
    </row>
    <row r="81" spans="1:4">
      <c r="A81" t="s">
        <v>422</v>
      </c>
      <c r="C81" s="251">
        <v>316395</v>
      </c>
    </row>
    <row r="82" spans="1:4">
      <c r="A82" t="s">
        <v>423</v>
      </c>
      <c r="C82" s="251">
        <f>+C80-C81</f>
        <v>-52501</v>
      </c>
    </row>
    <row r="86" spans="1:4">
      <c r="A86" t="s">
        <v>424</v>
      </c>
      <c r="C86" s="250">
        <v>40001.254237000001</v>
      </c>
    </row>
    <row r="87" spans="1:4">
      <c r="A87" t="s">
        <v>425</v>
      </c>
      <c r="C87" s="250">
        <v>72088.297590999995</v>
      </c>
    </row>
    <row r="90" spans="1:4">
      <c r="A90" t="s">
        <v>719</v>
      </c>
    </row>
    <row r="91" spans="1:4">
      <c r="A91" t="s">
        <v>724</v>
      </c>
      <c r="C91" s="251">
        <v>965178938</v>
      </c>
    </row>
    <row r="92" spans="1:4">
      <c r="A92" t="s">
        <v>711</v>
      </c>
      <c r="C92" s="251">
        <v>54100361218.265999</v>
      </c>
      <c r="D92" t="s">
        <v>720</v>
      </c>
    </row>
    <row r="93" spans="1:4">
      <c r="A93" t="s">
        <v>721</v>
      </c>
      <c r="C93" s="251">
        <v>17166607807.401001</v>
      </c>
      <c r="D93" t="s">
        <v>722</v>
      </c>
    </row>
    <row r="94" spans="1:4" ht="34">
      <c r="A94" s="284" t="s">
        <v>712</v>
      </c>
      <c r="C94" s="251">
        <v>3573671731.652</v>
      </c>
      <c r="D94" t="s">
        <v>725</v>
      </c>
    </row>
    <row r="95" spans="1:4" ht="34">
      <c r="A95" s="284" t="s">
        <v>713</v>
      </c>
      <c r="C95" s="251">
        <v>17000000000</v>
      </c>
      <c r="D95" t="s">
        <v>723</v>
      </c>
    </row>
    <row r="96" spans="1:4" ht="17">
      <c r="A96" s="284" t="s">
        <v>714</v>
      </c>
      <c r="C96" s="2">
        <f>+SUBTOTAL(9,C92:C95)</f>
        <v>91840640757.318985</v>
      </c>
    </row>
    <row r="97" spans="1:3">
      <c r="A97" t="s">
        <v>281</v>
      </c>
      <c r="C97" s="251">
        <v>20620294330</v>
      </c>
    </row>
    <row r="98" spans="1:3" ht="17">
      <c r="A98" s="284" t="s">
        <v>715</v>
      </c>
      <c r="C98" s="251">
        <f>112235584353-C96</f>
        <v>20394943595.681015</v>
      </c>
    </row>
    <row r="99" spans="1:3" ht="17">
      <c r="A99" s="284" t="s">
        <v>716</v>
      </c>
      <c r="C99" s="251">
        <v>12763258634</v>
      </c>
    </row>
    <row r="100" spans="1:3" ht="17">
      <c r="A100" s="284" t="s">
        <v>717</v>
      </c>
      <c r="C100" s="2">
        <f>+SUBTOTAL(9,C98:C99)</f>
        <v>33158202229.681015</v>
      </c>
    </row>
    <row r="102" spans="1:3" ht="17">
      <c r="A102" s="284" t="s">
        <v>718</v>
      </c>
      <c r="C102" s="2">
        <f>+SUBTOTAL(9,C91:C100)</f>
        <v>146584316255</v>
      </c>
    </row>
  </sheetData>
  <mergeCells count="2">
    <mergeCell ref="A47:E47"/>
    <mergeCell ref="A64:C64"/>
  </mergeCells>
  <conditionalFormatting sqref="G59:AG59">
    <cfRule type="expression" dxfId="1" priority="2">
      <formula>$G$58="Si"</formula>
    </cfRule>
  </conditionalFormatting>
  <conditionalFormatting sqref="G61:AG61">
    <cfRule type="expression" dxfId="0" priority="1">
      <formula>$G$60="Si"</formula>
    </cfRule>
  </conditionalFormatting>
  <dataValidations disablePrompts="1" count="1">
    <dataValidation type="list" allowBlank="1" showInputMessage="1" showErrorMessage="1" sqref="C70 G60 G58" xr:uid="{00000000-0002-0000-0000-000000000000}">
      <formula1>$D$70:$D$71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B3:T52"/>
  <sheetViews>
    <sheetView workbookViewId="0">
      <selection activeCell="B1" sqref="B1"/>
    </sheetView>
  </sheetViews>
  <sheetFormatPr baseColWidth="10" defaultRowHeight="16"/>
  <cols>
    <col min="2" max="2" width="35.6640625" bestFit="1" customWidth="1"/>
  </cols>
  <sheetData>
    <row r="3" spans="2:20">
      <c r="B3" s="14"/>
      <c r="C3" s="14">
        <v>2018</v>
      </c>
      <c r="D3" s="14">
        <v>2019</v>
      </c>
      <c r="E3" s="14">
        <f>+'Flujo Caja'!H5</f>
        <v>2020</v>
      </c>
      <c r="F3" s="14">
        <f>+'Flujo Caja'!I5</f>
        <v>2021</v>
      </c>
      <c r="G3" s="14">
        <f>+'Flujo Caja'!J5</f>
        <v>2022</v>
      </c>
      <c r="H3" s="14">
        <f>+'Flujo Caja'!K5</f>
        <v>2023</v>
      </c>
      <c r="I3" s="14">
        <f>+'Flujo Caja'!L5</f>
        <v>2024</v>
      </c>
      <c r="J3" s="14">
        <f>+'Flujo Caja'!M5</f>
        <v>2025</v>
      </c>
      <c r="K3" s="14">
        <f>+'Flujo Caja'!N5</f>
        <v>2026</v>
      </c>
      <c r="L3" s="14">
        <f>+'Flujo Caja'!O5</f>
        <v>2027</v>
      </c>
      <c r="M3" s="14">
        <f>+'Flujo Caja'!P5</f>
        <v>2028</v>
      </c>
      <c r="N3" s="14">
        <f>+'Flujo Caja'!Q5</f>
        <v>2029</v>
      </c>
      <c r="O3" s="14">
        <f>+'Flujo Caja'!R5</f>
        <v>2030</v>
      </c>
      <c r="P3" s="14">
        <f>+'Flujo Caja'!S5</f>
        <v>2031</v>
      </c>
      <c r="Q3" s="14">
        <f>+'Flujo Caja'!T5</f>
        <v>2032</v>
      </c>
      <c r="R3" s="14">
        <f>+'Flujo Caja'!U5</f>
        <v>2033</v>
      </c>
      <c r="S3" s="14">
        <f>+'Flujo Caja'!V5</f>
        <v>2034</v>
      </c>
      <c r="T3" s="14">
        <f>+'Flujo Caja'!W5</f>
        <v>2035</v>
      </c>
    </row>
    <row r="4" spans="2:20">
      <c r="B4" s="14"/>
      <c r="C4" s="14"/>
      <c r="D4" s="1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2:20">
      <c r="B5" s="14" t="str">
        <f>PyG!B5</f>
        <v>Ventas Totales</v>
      </c>
      <c r="C5" s="125">
        <f>PyG!K5</f>
        <v>207321</v>
      </c>
      <c r="D5" s="125">
        <f>PyG!L5</f>
        <v>207240.80693814601</v>
      </c>
      <c r="E5" s="125">
        <f>PyG!M5</f>
        <v>154364.12899103231</v>
      </c>
      <c r="F5" s="125">
        <f>PyG!N5</f>
        <v>206780.66099612843</v>
      </c>
      <c r="G5" s="125">
        <f>PyG!O5</f>
        <v>286035.81158026273</v>
      </c>
      <c r="H5" s="125">
        <f>PyG!P5</f>
        <v>340382.24548314308</v>
      </c>
      <c r="I5" s="125">
        <f>PyG!Q5</f>
        <v>436736.42526257702</v>
      </c>
      <c r="J5" s="125">
        <f>PyG!R5</f>
        <v>499238.15133548755</v>
      </c>
      <c r="K5" s="125">
        <f>PyG!S5</f>
        <v>545113.22423907614</v>
      </c>
      <c r="L5" s="125">
        <f>PyG!T5</f>
        <v>603959.85081564332</v>
      </c>
      <c r="M5" s="125">
        <f>PyG!U5</f>
        <v>653726.17849837255</v>
      </c>
      <c r="N5" s="125">
        <f>PyG!V5</f>
        <v>706104.033932538</v>
      </c>
      <c r="O5" s="125">
        <f>PyG!W5</f>
        <v>750797.92217976111</v>
      </c>
      <c r="P5" s="125">
        <f>PyG!X5</f>
        <v>793064.79462799581</v>
      </c>
      <c r="Q5" s="125">
        <f>PyG!Y5</f>
        <v>813682.7340225759</v>
      </c>
      <c r="R5" s="125">
        <f>PyG!Z5</f>
        <v>862853.12879062584</v>
      </c>
      <c r="S5" s="125">
        <f>PyG!AA5</f>
        <v>918867.35788199317</v>
      </c>
      <c r="T5" s="125">
        <f>PyG!AB5</f>
        <v>980847.57632599876</v>
      </c>
    </row>
    <row r="6" spans="2:20">
      <c r="B6" s="14" t="str">
        <f>+PyG!B6</f>
        <v>Ventas Negocios Externos</v>
      </c>
      <c r="C6" s="125">
        <f>+PyG!K6</f>
        <v>207321</v>
      </c>
      <c r="D6" s="125">
        <f>+PyG!L6</f>
        <v>148633</v>
      </c>
      <c r="E6" s="125">
        <f>+PyG!M6</f>
        <v>115244</v>
      </c>
      <c r="F6" s="125">
        <f>+PyG!N6</f>
        <v>156414.24</v>
      </c>
      <c r="G6" s="125">
        <f>+PyG!O6</f>
        <v>187235.72959999999</v>
      </c>
      <c r="H6" s="125">
        <f>+PyG!P6</f>
        <v>252925.158784</v>
      </c>
      <c r="I6" s="125">
        <f>+PyG!Q6</f>
        <v>315520.28123136004</v>
      </c>
      <c r="J6" s="125">
        <f>+PyG!R6</f>
        <v>338156.37568061444</v>
      </c>
      <c r="K6" s="125">
        <f>+PyG!S6</f>
        <v>362431.83386073506</v>
      </c>
      <c r="L6" s="125">
        <f>+PyG!T6</f>
        <v>388466.01197510475</v>
      </c>
      <c r="M6" s="125">
        <f>+PyG!U6</f>
        <v>416386.98159485759</v>
      </c>
      <c r="N6" s="125">
        <f>+PyG!V6</f>
        <v>446332.16707883461</v>
      </c>
      <c r="O6" s="125">
        <f>+PyG!W6</f>
        <v>468642.8212282373</v>
      </c>
      <c r="P6" s="125">
        <f>+PyG!X6</f>
        <v>502370.9941943211</v>
      </c>
      <c r="Q6" s="125">
        <f>+PyG!Y6</f>
        <v>538546.20875641878</v>
      </c>
      <c r="R6" s="125">
        <f>+PyG!Z6</f>
        <v>577346.80176592863</v>
      </c>
      <c r="S6" s="125">
        <f>+PyG!AA6</f>
        <v>618964.13930444873</v>
      </c>
      <c r="T6" s="125">
        <f>+PyG!AB6</f>
        <v>663603.56989399611</v>
      </c>
    </row>
    <row r="7" spans="2:20">
      <c r="B7" s="14" t="str">
        <f>+PyG!B24</f>
        <v>Ventas Negocios Internos</v>
      </c>
      <c r="C7" s="125">
        <f>+PyG!K24</f>
        <v>0</v>
      </c>
      <c r="D7" s="125">
        <f>+PyG!L24</f>
        <v>58607.806938146008</v>
      </c>
      <c r="E7" s="125">
        <f>+PyG!M24</f>
        <v>39120.128991032303</v>
      </c>
      <c r="F7" s="125">
        <f>+PyG!N24</f>
        <v>50366.420996128429</v>
      </c>
      <c r="G7" s="125">
        <f>+PyG!O24</f>
        <v>98800.081980262767</v>
      </c>
      <c r="H7" s="125">
        <f>+PyG!P24</f>
        <v>87457.086699143081</v>
      </c>
      <c r="I7" s="125">
        <f>+PyG!Q24</f>
        <v>121216.144031217</v>
      </c>
      <c r="J7" s="125">
        <f>+PyG!R24</f>
        <v>161081.77565487311</v>
      </c>
      <c r="K7" s="125">
        <f>+PyG!S24</f>
        <v>182681.39037834105</v>
      </c>
      <c r="L7" s="125">
        <f>+PyG!T24</f>
        <v>215493.83884053858</v>
      </c>
      <c r="M7" s="125">
        <f>+PyG!U24</f>
        <v>237339.196903515</v>
      </c>
      <c r="N7" s="125">
        <f>+PyG!V24</f>
        <v>259771.8668537034</v>
      </c>
      <c r="O7" s="125">
        <f>+PyG!W24</f>
        <v>282155.10095152381</v>
      </c>
      <c r="P7" s="125">
        <f>+PyG!X24</f>
        <v>290693.80043367471</v>
      </c>
      <c r="Q7" s="125">
        <f>+PyG!Y24</f>
        <v>275136.52526615706</v>
      </c>
      <c r="R7" s="125">
        <f>+PyG!Z24</f>
        <v>285506.32702469715</v>
      </c>
      <c r="S7" s="125">
        <f>+PyG!AA24</f>
        <v>299903.21857754444</v>
      </c>
      <c r="T7" s="125">
        <f>+PyG!AB24</f>
        <v>317244.00643200264</v>
      </c>
    </row>
    <row r="8" spans="2:20">
      <c r="B8" s="14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</row>
    <row r="9" spans="2:20">
      <c r="B9" s="14" t="str">
        <f>+PyG!B43</f>
        <v>Utilidad Bruta Total</v>
      </c>
      <c r="C9" s="125">
        <f>+PyG!K43</f>
        <v>17458</v>
      </c>
      <c r="D9" s="125">
        <f>+PyG!L43</f>
        <v>18798.893877016919</v>
      </c>
      <c r="E9" s="125">
        <f>+PyG!M43</f>
        <v>9366.1349948849165</v>
      </c>
      <c r="F9" s="125">
        <f>+PyG!N43</f>
        <v>14348.159265019396</v>
      </c>
      <c r="G9" s="125">
        <f>+PyG!O43</f>
        <v>25078.468314644007</v>
      </c>
      <c r="H9" s="125">
        <f>+PyG!P43</f>
        <v>29803.665114480558</v>
      </c>
      <c r="I9" s="125">
        <f>+PyG!Q43</f>
        <v>39914.723887191751</v>
      </c>
      <c r="J9" s="125">
        <f>+PyG!R43</f>
        <v>47929.985561168709</v>
      </c>
      <c r="K9" s="125">
        <f>+PyG!S43</f>
        <v>52935.901499001906</v>
      </c>
      <c r="L9" s="125">
        <f>+PyG!T43</f>
        <v>59848.982983508933</v>
      </c>
      <c r="M9" s="125">
        <f>+PyG!U43</f>
        <v>65076.343462181037</v>
      </c>
      <c r="N9" s="125">
        <f>+PyG!V43</f>
        <v>70573.797310923706</v>
      </c>
      <c r="O9" s="125">
        <f>+PyG!W43</f>
        <v>75644.601774872455</v>
      </c>
      <c r="P9" s="125">
        <f>+PyG!X43</f>
        <v>79375.16669616662</v>
      </c>
      <c r="Q9" s="125">
        <f>+PyG!Y43</f>
        <v>79333.394832762846</v>
      </c>
      <c r="R9" s="125">
        <f>+PyG!Z43</f>
        <v>83225.426440598065</v>
      </c>
      <c r="S9" s="125">
        <f>+PyG!AA43</f>
        <v>87947.125019697953</v>
      </c>
      <c r="T9" s="125">
        <f>+PyG!AB43</f>
        <v>93389.634561731698</v>
      </c>
    </row>
    <row r="10" spans="2:20">
      <c r="B10" s="14" t="str">
        <f>+PyG!B44</f>
        <v>Utilidad Bruta Negocios Externos</v>
      </c>
      <c r="C10" s="125">
        <f>+PyG!K44</f>
        <v>17458</v>
      </c>
      <c r="D10" s="125">
        <f>+PyG!L44</f>
        <v>12900</v>
      </c>
      <c r="E10" s="125">
        <f>+PyG!M44</f>
        <v>2663.2749999999996</v>
      </c>
      <c r="F10" s="125">
        <f>+PyG!N44</f>
        <v>6580.474400000001</v>
      </c>
      <c r="G10" s="125">
        <f>+PyG!O44</f>
        <v>11688.281375999999</v>
      </c>
      <c r="H10" s="125">
        <f>+PyG!P44</f>
        <v>16109.41663104</v>
      </c>
      <c r="I10" s="125">
        <f>+PyG!Q44</f>
        <v>20755.475881881601</v>
      </c>
      <c r="J10" s="125">
        <f>+PyG!R44</f>
        <v>22186.611909156865</v>
      </c>
      <c r="K10" s="125">
        <f>+PyG!S44</f>
        <v>23719.028574696906</v>
      </c>
      <c r="L10" s="125">
        <f>+PyG!T44</f>
        <v>25360.004003281196</v>
      </c>
      <c r="M10" s="125">
        <f>+PyG!U44</f>
        <v>27117.343911857362</v>
      </c>
      <c r="N10" s="125">
        <f>+PyG!V44</f>
        <v>28999.420041542617</v>
      </c>
      <c r="O10" s="125">
        <f>+PyG!W44</f>
        <v>30426.838891179283</v>
      </c>
      <c r="P10" s="125">
        <f>+PyG!X44</f>
        <v>32542.860053843717</v>
      </c>
      <c r="Q10" s="125">
        <f>+PyG!Y44</f>
        <v>34809.396943656953</v>
      </c>
      <c r="R10" s="125">
        <f>+PyG!Z44</f>
        <v>37237.297500958412</v>
      </c>
      <c r="S10" s="125">
        <f>+PyG!AA44</f>
        <v>39838.197329069735</v>
      </c>
      <c r="T10" s="125">
        <f>+PyG!AB44</f>
        <v>42624.577123274692</v>
      </c>
    </row>
    <row r="11" spans="2:20">
      <c r="B11" s="14" t="str">
        <f>+PyG!B61</f>
        <v>Utilidad Bruta Negocios Internos</v>
      </c>
      <c r="C11" s="125">
        <f>+PyG!K61</f>
        <v>0</v>
      </c>
      <c r="D11" s="125">
        <f>+PyG!L61</f>
        <v>5898.893877016917</v>
      </c>
      <c r="E11" s="125">
        <f>+PyG!M61</f>
        <v>6702.8599948849151</v>
      </c>
      <c r="F11" s="125">
        <f>+PyG!N61</f>
        <v>7767.684865019397</v>
      </c>
      <c r="G11" s="125">
        <f>+PyG!O61</f>
        <v>13390.186938644012</v>
      </c>
      <c r="H11" s="125">
        <f>+PyG!P61</f>
        <v>13694.248483440557</v>
      </c>
      <c r="I11" s="125">
        <f>+PyG!Q61</f>
        <v>19159.24800531015</v>
      </c>
      <c r="J11" s="125">
        <f>+PyG!R61</f>
        <v>25743.37365201184</v>
      </c>
      <c r="K11" s="125">
        <f>+PyG!S61</f>
        <v>29216.872924304997</v>
      </c>
      <c r="L11" s="125">
        <f>+PyG!T61</f>
        <v>34488.978980227745</v>
      </c>
      <c r="M11" s="125">
        <f>+PyG!U61</f>
        <v>37958.999550323679</v>
      </c>
      <c r="N11" s="125">
        <f>+PyG!V61</f>
        <v>41574.37726938109</v>
      </c>
      <c r="O11" s="125">
        <f>+PyG!W61</f>
        <v>45217.762883693169</v>
      </c>
      <c r="P11" s="125">
        <f>+PyG!X61</f>
        <v>46832.306642322896</v>
      </c>
      <c r="Q11" s="125">
        <f>+PyG!Y61</f>
        <v>44523.997889105885</v>
      </c>
      <c r="R11" s="125">
        <f>+PyG!Z61</f>
        <v>45988.128939639668</v>
      </c>
      <c r="S11" s="125">
        <f>+PyG!AA61</f>
        <v>48108.927690628218</v>
      </c>
      <c r="T11" s="125">
        <f>+PyG!AB61</f>
        <v>50765.057438456992</v>
      </c>
    </row>
    <row r="12" spans="2:20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2:20">
      <c r="B13" s="14" t="str">
        <f>+PyG!B80</f>
        <v>Margen Bruto Totales</v>
      </c>
      <c r="C13" s="277">
        <f>+PyG!K80</f>
        <v>8.4207581479927268E-2</v>
      </c>
      <c r="D13" s="277">
        <f>+PyG!L80</f>
        <v>9.0710387373794193E-2</v>
      </c>
      <c r="E13" s="277">
        <f>+PyG!M80</f>
        <v>6.0675592549283494E-2</v>
      </c>
      <c r="F13" s="277">
        <f>+PyG!N80</f>
        <v>6.9388303509137342E-2</v>
      </c>
      <c r="G13" s="277">
        <f>+PyG!O80</f>
        <v>8.7675973774377886E-2</v>
      </c>
      <c r="H13" s="277">
        <f>+PyG!P80</f>
        <v>8.755939979236238E-2</v>
      </c>
      <c r="I13" s="277">
        <f>+PyG!Q80</f>
        <v>9.1393164339782298E-2</v>
      </c>
      <c r="J13" s="277">
        <f>+PyG!R80</f>
        <v>9.600625559756111E-2</v>
      </c>
      <c r="K13" s="277">
        <f>+PyG!S80</f>
        <v>9.7109919820593527E-2</v>
      </c>
      <c r="L13" s="277">
        <f>+PyG!T80</f>
        <v>9.9094307183968139E-2</v>
      </c>
      <c r="M13" s="277">
        <f>+PyG!U80</f>
        <v>9.9546791305900023E-2</v>
      </c>
      <c r="N13" s="277">
        <f>+PyG!V80</f>
        <v>9.9948157664351209E-2</v>
      </c>
      <c r="O13" s="277">
        <f>+PyG!W80</f>
        <v>0.10075227906232952</v>
      </c>
      <c r="P13" s="277">
        <f>+PyG!X80</f>
        <v>0.10008660986319441</v>
      </c>
      <c r="Q13" s="277">
        <f>+PyG!Y80</f>
        <v>9.7499174451650239E-2</v>
      </c>
      <c r="R13" s="277">
        <f>+PyG!Z80</f>
        <v>9.6453757497810488E-2</v>
      </c>
      <c r="S13" s="277">
        <f>+PyG!AA80</f>
        <v>9.5712535944706703E-2</v>
      </c>
      <c r="T13" s="277">
        <f>+PyG!AB80</f>
        <v>9.5213198070535188E-2</v>
      </c>
    </row>
    <row r="14" spans="2:20">
      <c r="B14" s="14" t="str">
        <f>+PyG!B81</f>
        <v>Margen Bruto Negocios Externos</v>
      </c>
      <c r="C14" s="277">
        <f>+PyG!K81</f>
        <v>8.4207581479927268E-2</v>
      </c>
      <c r="D14" s="277">
        <f>+PyG!L81</f>
        <v>8.6790954902343356E-2</v>
      </c>
      <c r="E14" s="277">
        <f>+PyG!M81</f>
        <v>2.310987990697997E-2</v>
      </c>
      <c r="F14" s="277">
        <f>+PyG!N81</f>
        <v>4.2070814012841809E-2</v>
      </c>
      <c r="G14" s="277">
        <f>+PyG!O81</f>
        <v>6.2425485781854743E-2</v>
      </c>
      <c r="H14" s="277">
        <f>+PyG!P81</f>
        <v>6.3692424701797118E-2</v>
      </c>
      <c r="I14" s="277">
        <f>+PyG!Q81</f>
        <v>6.5781748801948911E-2</v>
      </c>
      <c r="J14" s="277">
        <f>+PyG!R81</f>
        <v>6.5610508938361442E-2</v>
      </c>
      <c r="K14" s="277">
        <f>+PyG!S81</f>
        <v>6.5444109370952699E-2</v>
      </c>
      <c r="L14" s="277">
        <f>+PyG!T81</f>
        <v>6.5282426831478932E-2</v>
      </c>
      <c r="M14" s="277">
        <f>+PyG!U81</f>
        <v>6.5125340393668699E-2</v>
      </c>
      <c r="N14" s="277">
        <f>+PyG!V81</f>
        <v>6.4972731477855858E-2</v>
      </c>
      <c r="O14" s="277">
        <f>+PyG!W81</f>
        <v>6.4925434708325291E-2</v>
      </c>
      <c r="P14" s="277">
        <f>+PyG!X81</f>
        <v>6.4778541018345251E-2</v>
      </c>
      <c r="Q14" s="277">
        <f>+PyG!Y81</f>
        <v>6.4635859240448262E-2</v>
      </c>
      <c r="R14" s="277">
        <f>+PyG!Z81</f>
        <v>6.4497278563007229E-2</v>
      </c>
      <c r="S14" s="277">
        <f>+PyG!AA81</f>
        <v>6.436269050067632E-2</v>
      </c>
      <c r="T14" s="277">
        <f>+PyG!AB81</f>
        <v>6.4231988881680566E-2</v>
      </c>
    </row>
    <row r="15" spans="2:20">
      <c r="B15" s="14" t="str">
        <f>+PyG!B99</f>
        <v>Margen Bruto Negocios Internos</v>
      </c>
      <c r="C15" s="277">
        <f>+PyG!K99</f>
        <v>0</v>
      </c>
      <c r="D15" s="277">
        <f>+PyG!L99</f>
        <v>0.10065030898089294</v>
      </c>
      <c r="E15" s="277">
        <f>+PyG!M99</f>
        <v>0.1713404369505388</v>
      </c>
      <c r="F15" s="277">
        <f>+PyG!N99</f>
        <v>0.15422348285609741</v>
      </c>
      <c r="G15" s="277">
        <f>+PyG!O99</f>
        <v>0.13552809542525443</v>
      </c>
      <c r="H15" s="277">
        <f>+PyG!P99</f>
        <v>0.15658249091408089</v>
      </c>
      <c r="I15" s="277">
        <f>+PyG!Q99</f>
        <v>0.15805855035593308</v>
      </c>
      <c r="J15" s="277">
        <f>+PyG!R99</f>
        <v>0.15981555670933556</v>
      </c>
      <c r="K15" s="277">
        <f>+PyG!S99</f>
        <v>0.15993349330107237</v>
      </c>
      <c r="L15" s="277">
        <f>+PyG!T99</f>
        <v>0.16004624153430644</v>
      </c>
      <c r="M15" s="277">
        <f>+PyG!U99</f>
        <v>0.15993565346795655</v>
      </c>
      <c r="N15" s="277">
        <f>+PyG!V99</f>
        <v>0.16004187740928341</v>
      </c>
      <c r="O15" s="277">
        <f>+PyG!W99</f>
        <v>0.16025853415799807</v>
      </c>
      <c r="P15" s="277">
        <f>+PyG!X99</f>
        <v>0.1611052818204434</v>
      </c>
      <c r="Q15" s="277">
        <f>+PyG!Y99</f>
        <v>0.16182510790246765</v>
      </c>
      <c r="R15" s="277">
        <f>+PyG!Z99</f>
        <v>0.1610756911025007</v>
      </c>
      <c r="S15" s="277">
        <f>+PyG!AA99</f>
        <v>0.16041484289102065</v>
      </c>
      <c r="T15" s="277">
        <f>+PyG!AB99</f>
        <v>0.16001896461151224</v>
      </c>
    </row>
    <row r="16" spans="2:20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>
      <c r="B17" s="14" t="str">
        <f>+PyG!B118</f>
        <v>Gastos Administración y Ventas</v>
      </c>
      <c r="C17" s="125">
        <f>+PyG!K118</f>
        <v>16999</v>
      </c>
      <c r="D17" s="125">
        <f>+PyG!L118</f>
        <v>18222.72242081444</v>
      </c>
      <c r="E17" s="125">
        <f>+PyG!M118</f>
        <v>18218.793388247177</v>
      </c>
      <c r="F17" s="125">
        <f>+PyG!N118</f>
        <v>18706.999390389472</v>
      </c>
      <c r="G17" s="125">
        <f>+PyG!O118</f>
        <v>19397.06820893507</v>
      </c>
      <c r="H17" s="125">
        <f>+PyG!P118</f>
        <v>19900.898672987092</v>
      </c>
      <c r="I17" s="125">
        <f>+PyG!Q118</f>
        <v>20720.368124278859</v>
      </c>
      <c r="J17" s="125">
        <f>+PyG!R118</f>
        <v>22061.373316566169</v>
      </c>
      <c r="K17" s="125">
        <f>+PyG!S118</f>
        <v>23321.290722420581</v>
      </c>
      <c r="L17" s="125">
        <f>+PyG!T118</f>
        <v>24724.287498776212</v>
      </c>
      <c r="M17" s="125">
        <f>+PyG!U118</f>
        <v>26107.264387279629</v>
      </c>
      <c r="N17" s="125">
        <f>+PyG!V118</f>
        <v>27560.314205462961</v>
      </c>
      <c r="O17" s="125">
        <f>+PyG!W118</f>
        <v>29008.745064865583</v>
      </c>
      <c r="P17" s="125">
        <f>+PyG!X118</f>
        <v>30494.634640653207</v>
      </c>
      <c r="Q17" s="125">
        <f>+PyG!Y118</f>
        <v>31876.601620159723</v>
      </c>
      <c r="R17" s="125">
        <f>+PyG!Z118</f>
        <v>33534.078636669619</v>
      </c>
      <c r="S17" s="125">
        <f>+PyG!AA118</f>
        <v>35307.319363391871</v>
      </c>
      <c r="T17" s="125">
        <f>+PyG!AB118</f>
        <v>37192.961710685762</v>
      </c>
    </row>
    <row r="18" spans="2:20">
      <c r="B18" s="14" t="str">
        <f>+PyG!B117</f>
        <v>Gastos/Ventas</v>
      </c>
      <c r="C18" s="277">
        <f>+PyG!K117</f>
        <v>8.1993623414897673E-2</v>
      </c>
      <c r="D18" s="277">
        <f>+PyG!L117</f>
        <v>8.7930184648688778E-2</v>
      </c>
      <c r="E18" s="277">
        <f>+PyG!M117</f>
        <v>0.11802478663488968</v>
      </c>
      <c r="F18" s="277">
        <f>+PyG!N117</f>
        <v>9.04678382411193E-2</v>
      </c>
      <c r="G18" s="277">
        <f>+PyG!O117</f>
        <v>6.7813425534977739E-2</v>
      </c>
      <c r="H18" s="277">
        <f>+PyG!P117</f>
        <v>5.8466324072630443E-2</v>
      </c>
      <c r="I18" s="277">
        <f>+PyG!Q117</f>
        <v>4.7443645470654862E-2</v>
      </c>
      <c r="J18" s="277">
        <f>+PyG!R117</f>
        <v>4.4190078938380145E-2</v>
      </c>
      <c r="K18" s="277">
        <f>+PyG!S117</f>
        <v>4.2782471026959187E-2</v>
      </c>
      <c r="L18" s="277">
        <f>+PyG!T117</f>
        <v>4.0936971994721578E-2</v>
      </c>
      <c r="M18" s="277">
        <f>+PyG!U117</f>
        <v>3.9936085238698488E-2</v>
      </c>
      <c r="N18" s="277">
        <f>+PyG!V117</f>
        <v>3.9031520683956475E-2</v>
      </c>
      <c r="O18" s="277">
        <f>+PyG!W117</f>
        <v>3.8637220759276572E-2</v>
      </c>
      <c r="P18" s="277">
        <f>+PyG!X117</f>
        <v>3.8451630745956103E-2</v>
      </c>
      <c r="Q18" s="277">
        <f>+PyG!Y117</f>
        <v>3.9175713441248095E-2</v>
      </c>
      <c r="R18" s="277">
        <f>+PyG!Z117</f>
        <v>3.8864179218624326E-2</v>
      </c>
      <c r="S18" s="277">
        <f>+PyG!AA117</f>
        <v>3.8424827109732045E-2</v>
      </c>
      <c r="T18" s="277">
        <f>+PyG!AB117</f>
        <v>3.7919206417373202E-2</v>
      </c>
    </row>
    <row r="19" spans="2:20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>
      <c r="B20" s="14" t="str">
        <f>+PyG!B132</f>
        <v>Utilidad Operativa sin recurrentes</v>
      </c>
      <c r="C20" s="125">
        <f>+PyG!K132</f>
        <v>459</v>
      </c>
      <c r="D20" s="125">
        <f>+PyG!L132</f>
        <v>576.17145620247902</v>
      </c>
      <c r="E20" s="125">
        <f>+PyG!M132</f>
        <v>-8852.6583933622605</v>
      </c>
      <c r="F20" s="125">
        <f>+PyG!N132</f>
        <v>-4358.8401253700758</v>
      </c>
      <c r="G20" s="125">
        <f>+PyG!O132</f>
        <v>5681.4001057089372</v>
      </c>
      <c r="H20" s="125">
        <f>+PyG!P132</f>
        <v>9902.7664414934661</v>
      </c>
      <c r="I20" s="125">
        <f>+PyG!Q132</f>
        <v>19194.355762912892</v>
      </c>
      <c r="J20" s="125">
        <f>+PyG!R132</f>
        <v>25868.61224460254</v>
      </c>
      <c r="K20" s="125">
        <f>+PyG!S132</f>
        <v>29614.610776581325</v>
      </c>
      <c r="L20" s="125">
        <f>+PyG!T132</f>
        <v>35124.695484732722</v>
      </c>
      <c r="M20" s="125">
        <f>+PyG!U132</f>
        <v>38969.079074901412</v>
      </c>
      <c r="N20" s="125">
        <f>+PyG!V132</f>
        <v>43013.483105460749</v>
      </c>
      <c r="O20" s="125">
        <f>+PyG!W132</f>
        <v>46635.856710006876</v>
      </c>
      <c r="P20" s="125">
        <f>+PyG!X132</f>
        <v>48880.532055513409</v>
      </c>
      <c r="Q20" s="125">
        <f>+PyG!Y132</f>
        <v>47456.793212603123</v>
      </c>
      <c r="R20" s="125">
        <f>+PyG!Z132</f>
        <v>49691.347803928446</v>
      </c>
      <c r="S20" s="125">
        <f>+PyG!AA132</f>
        <v>52639.805656306082</v>
      </c>
      <c r="T20" s="125">
        <f>+PyG!AB132</f>
        <v>56196.672851045936</v>
      </c>
    </row>
    <row r="21" spans="2:20">
      <c r="B21" s="14" t="str">
        <f>+PyG!B143</f>
        <v>Margen Operativo sin recurrentes</v>
      </c>
      <c r="C21" s="277">
        <f>+PyG!K143</f>
        <v>2.2139580650295918E-3</v>
      </c>
      <c r="D21" s="277">
        <f>+PyG!L143</f>
        <v>2.7802027251054165E-3</v>
      </c>
      <c r="E21" s="277">
        <f>+PyG!M143</f>
        <v>-5.7349194085606188E-2</v>
      </c>
      <c r="F21" s="277">
        <f>+PyG!N143</f>
        <v>-2.1079534731981958E-2</v>
      </c>
      <c r="G21" s="277">
        <f>+PyG!O143</f>
        <v>1.9862548239400139E-2</v>
      </c>
      <c r="H21" s="277">
        <f>+PyG!P143</f>
        <v>2.9093075719731937E-2</v>
      </c>
      <c r="I21" s="277">
        <f>+PyG!Q143</f>
        <v>4.3949518869127437E-2</v>
      </c>
      <c r="J21" s="277">
        <f>+PyG!R143</f>
        <v>5.1816176659180958E-2</v>
      </c>
      <c r="K21" s="277">
        <f>+PyG!S143</f>
        <v>5.4327448793634346E-2</v>
      </c>
      <c r="L21" s="277">
        <f>+PyG!T143</f>
        <v>5.8157335189246567E-2</v>
      </c>
      <c r="M21" s="277">
        <f>+PyG!U143</f>
        <v>5.9610706067201535E-2</v>
      </c>
      <c r="N21" s="277">
        <f>+PyG!V143</f>
        <v>6.0916636980394741E-2</v>
      </c>
      <c r="O21" s="277">
        <f>+PyG!W143</f>
        <v>6.2115058303052952E-2</v>
      </c>
      <c r="P21" s="277">
        <f>+PyG!X143</f>
        <v>6.1634979117238309E-2</v>
      </c>
      <c r="Q21" s="277">
        <f>+PyG!Y143</f>
        <v>5.8323461010402144E-2</v>
      </c>
      <c r="R21" s="277">
        <f>+PyG!Z143</f>
        <v>5.7589578279186163E-2</v>
      </c>
      <c r="S21" s="277">
        <f>+PyG!AA143</f>
        <v>5.7287708834974659E-2</v>
      </c>
      <c r="T21" s="277">
        <f>+PyG!AB143</f>
        <v>5.7293991653161985E-2</v>
      </c>
    </row>
    <row r="22" spans="2:20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>
      <c r="B23" s="14" t="str">
        <f>+PyG!B154</f>
        <v>Gastos financieros</v>
      </c>
      <c r="C23" s="125">
        <f>+PyG!K154</f>
        <v>0</v>
      </c>
      <c r="D23" s="125">
        <f>+PyG!L154</f>
        <v>0</v>
      </c>
      <c r="E23" s="125">
        <f>+PyG!M154</f>
        <v>9841.8135331808553</v>
      </c>
      <c r="F23" s="125">
        <f>+PyG!N154</f>
        <v>8223.7722195987717</v>
      </c>
      <c r="G23" s="125">
        <f>+PyG!O154</f>
        <v>6504.6223186234438</v>
      </c>
      <c r="H23" s="125">
        <f>+PyG!P154</f>
        <v>6504.6223186234438</v>
      </c>
      <c r="I23" s="125">
        <f>+PyG!Q154</f>
        <v>6236.0584289898516</v>
      </c>
      <c r="J23" s="125">
        <f>+PyG!R154</f>
        <v>6135.3469703772544</v>
      </c>
      <c r="K23" s="125">
        <f>+PyG!S154</f>
        <v>5463.9372462932733</v>
      </c>
      <c r="L23" s="125">
        <f>+PyG!T154</f>
        <v>4523.9636325757001</v>
      </c>
      <c r="M23" s="125">
        <f>+PyG!U154</f>
        <v>3747.5454276449846</v>
      </c>
      <c r="N23" s="125">
        <f>+PyG!V154</f>
        <v>3243.988134581999</v>
      </c>
      <c r="O23" s="125">
        <f>+PyG!W154</f>
        <v>2274.875338839181</v>
      </c>
      <c r="P23" s="125">
        <f>+PyG!X154</f>
        <v>932.05589067121889</v>
      </c>
      <c r="Q23" s="125">
        <f>+PyG!Y154</f>
        <v>0</v>
      </c>
      <c r="R23" s="125">
        <f>+PyG!Z154</f>
        <v>0</v>
      </c>
      <c r="S23" s="125">
        <f>+PyG!AA154</f>
        <v>0</v>
      </c>
      <c r="T23" s="125">
        <f>+PyG!AB154</f>
        <v>0</v>
      </c>
    </row>
    <row r="24" spans="2:20">
      <c r="B24" s="14" t="str">
        <f>+PyG!B158</f>
        <v>Impuesto de renta</v>
      </c>
      <c r="C24" s="125">
        <f>+PyG!K158</f>
        <v>0</v>
      </c>
      <c r="D24" s="125">
        <f>+PyG!L158</f>
        <v>0</v>
      </c>
      <c r="E24" s="125">
        <f>+PyG!M158</f>
        <v>0</v>
      </c>
      <c r="F24" s="125">
        <f>+PyG!N158</f>
        <v>0</v>
      </c>
      <c r="G24" s="125">
        <f>+PyG!O158</f>
        <v>0</v>
      </c>
      <c r="H24" s="125">
        <f>+PyG!P158</f>
        <v>0</v>
      </c>
      <c r="I24" s="125">
        <f>+PyG!Q158</f>
        <v>0</v>
      </c>
      <c r="J24" s="125">
        <f>+PyG!R158</f>
        <v>1506.6386619221369</v>
      </c>
      <c r="K24" s="125">
        <f>+PyG!S158</f>
        <v>7969.7222649950572</v>
      </c>
      <c r="L24" s="125">
        <f>+PyG!T158</f>
        <v>10098.241511211818</v>
      </c>
      <c r="M24" s="125">
        <f>+PyG!U158</f>
        <v>11623.106103594626</v>
      </c>
      <c r="N24" s="125">
        <f>+PyG!V158</f>
        <v>13123.933340389995</v>
      </c>
      <c r="O24" s="125">
        <f>+PyG!W158</f>
        <v>14639.12385248534</v>
      </c>
      <c r="P24" s="125">
        <f>+PyG!X158</f>
        <v>15822.997134397927</v>
      </c>
      <c r="Q24" s="125">
        <f>+PyG!Y158</f>
        <v>15660.741760159028</v>
      </c>
      <c r="R24" s="125">
        <f>+PyG!Z158</f>
        <v>16398.144775296387</v>
      </c>
      <c r="S24" s="125">
        <f>+PyG!AA158</f>
        <v>17371.135866581011</v>
      </c>
      <c r="T24" s="125">
        <f>+PyG!AB158</f>
        <v>18544.902040845162</v>
      </c>
    </row>
    <row r="25" spans="2:20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>
      <c r="B26" s="14" t="str">
        <f>+PyG!B160</f>
        <v>Utilidad Neta sin recurrentes</v>
      </c>
      <c r="C26" s="125">
        <f>+PyG!K160</f>
        <v>459</v>
      </c>
      <c r="D26" s="125">
        <f>+PyG!L160</f>
        <v>576.17145620247902</v>
      </c>
      <c r="E26" s="125">
        <f>+PyG!M160</f>
        <v>-18694.471926543116</v>
      </c>
      <c r="F26" s="125">
        <f>+PyG!N160</f>
        <v>-12582.612344968848</v>
      </c>
      <c r="G26" s="125">
        <f>+PyG!O160</f>
        <v>-823.2222129145066</v>
      </c>
      <c r="H26" s="125">
        <f>+PyG!P160</f>
        <v>3398.1441228700223</v>
      </c>
      <c r="I26" s="125">
        <f>+PyG!Q160</f>
        <v>12958.297333923041</v>
      </c>
      <c r="J26" s="125">
        <f>+PyG!R160</f>
        <v>18226.626612303149</v>
      </c>
      <c r="K26" s="125">
        <f>+PyG!S160</f>
        <v>16180.951265292995</v>
      </c>
      <c r="L26" s="125">
        <f>+PyG!T160</f>
        <v>20502.490340945202</v>
      </c>
      <c r="M26" s="125">
        <f>+PyG!U160</f>
        <v>23598.427543661805</v>
      </c>
      <c r="N26" s="125">
        <f>+PyG!V160</f>
        <v>26645.561630488759</v>
      </c>
      <c r="O26" s="125">
        <f>+PyG!W160</f>
        <v>29721.857518682358</v>
      </c>
      <c r="P26" s="125">
        <f>+PyG!X160</f>
        <v>32125.479030444265</v>
      </c>
      <c r="Q26" s="125">
        <f>+PyG!Y160</f>
        <v>31796.051452444095</v>
      </c>
      <c r="R26" s="125">
        <f>+PyG!Z160</f>
        <v>33293.203028632059</v>
      </c>
      <c r="S26" s="125">
        <f>+PyG!AA160</f>
        <v>35268.669789725071</v>
      </c>
      <c r="T26" s="125">
        <f>+PyG!AB160</f>
        <v>37651.770810200775</v>
      </c>
    </row>
    <row r="27" spans="2:20">
      <c r="B27" s="14" t="str">
        <f>+PyG!B163</f>
        <v>Margen neto sin recurrentes</v>
      </c>
      <c r="C27" s="277">
        <f>+PyG!K163</f>
        <v>2.2139580650295918E-3</v>
      </c>
      <c r="D27" s="277">
        <f>+PyG!L163</f>
        <v>2.7802027251054165E-3</v>
      </c>
      <c r="E27" s="277">
        <f>+PyG!M163</f>
        <v>-0.12110632210174399</v>
      </c>
      <c r="F27" s="277">
        <f>+PyG!N163</f>
        <v>-6.085004412092692E-2</v>
      </c>
      <c r="G27" s="277">
        <f>+PyG!O163</f>
        <v>-2.8780389712968067E-3</v>
      </c>
      <c r="H27" s="277">
        <f>+PyG!P163</f>
        <v>9.9833177786539697E-3</v>
      </c>
      <c r="I27" s="277">
        <f>+PyG!Q163</f>
        <v>2.9670750100892509E-2</v>
      </c>
      <c r="J27" s="277">
        <f>+PyG!R163</f>
        <v>3.6508881710153748E-2</v>
      </c>
      <c r="K27" s="277">
        <f>+PyG!S163</f>
        <v>2.9683652030053014E-2</v>
      </c>
      <c r="L27" s="277">
        <f>+PyG!T163</f>
        <v>3.3946776947601301E-2</v>
      </c>
      <c r="M27" s="277">
        <f>+PyG!U163</f>
        <v>3.6098336459261977E-2</v>
      </c>
      <c r="N27" s="277">
        <f>+PyG!V163</f>
        <v>3.7736028049705925E-2</v>
      </c>
      <c r="O27" s="277">
        <f>+PyG!W163</f>
        <v>3.9587026869216814E-2</v>
      </c>
      <c r="P27" s="277">
        <f>+PyG!X163</f>
        <v>4.0508013024980409E-2</v>
      </c>
      <c r="Q27" s="277">
        <f>+PyG!Y163</f>
        <v>3.9076718876969438E-2</v>
      </c>
      <c r="R27" s="277">
        <f>+PyG!Z163</f>
        <v>3.8585017447054726E-2</v>
      </c>
      <c r="S27" s="277">
        <f>+PyG!AA163</f>
        <v>3.8382764919433016E-2</v>
      </c>
      <c r="T27" s="277">
        <f>+PyG!AB163</f>
        <v>3.8386974407618527E-2</v>
      </c>
    </row>
    <row r="30" spans="2:20">
      <c r="B30" s="14"/>
      <c r="C30" s="14"/>
      <c r="D30" s="14"/>
      <c r="E30" s="14">
        <f t="shared" ref="E30:T30" si="0">+E3</f>
        <v>2020</v>
      </c>
      <c r="F30" s="14">
        <f t="shared" si="0"/>
        <v>2021</v>
      </c>
      <c r="G30" s="14">
        <f t="shared" si="0"/>
        <v>2022</v>
      </c>
      <c r="H30" s="14">
        <f t="shared" si="0"/>
        <v>2023</v>
      </c>
      <c r="I30" s="14">
        <f t="shared" si="0"/>
        <v>2024</v>
      </c>
      <c r="J30" s="14">
        <f t="shared" si="0"/>
        <v>2025</v>
      </c>
      <c r="K30" s="14">
        <f t="shared" si="0"/>
        <v>2026</v>
      </c>
      <c r="L30" s="14">
        <f t="shared" si="0"/>
        <v>2027</v>
      </c>
      <c r="M30" s="14">
        <f t="shared" si="0"/>
        <v>2028</v>
      </c>
      <c r="N30" s="14">
        <f t="shared" si="0"/>
        <v>2029</v>
      </c>
      <c r="O30" s="14">
        <f t="shared" si="0"/>
        <v>2030</v>
      </c>
      <c r="P30" s="14">
        <f t="shared" si="0"/>
        <v>2031</v>
      </c>
      <c r="Q30" s="14">
        <f t="shared" si="0"/>
        <v>2032</v>
      </c>
      <c r="R30" s="14">
        <f t="shared" si="0"/>
        <v>2033</v>
      </c>
      <c r="S30" s="14">
        <f t="shared" si="0"/>
        <v>2034</v>
      </c>
      <c r="T30" s="14">
        <f t="shared" si="0"/>
        <v>2035</v>
      </c>
    </row>
    <row r="31" spans="2:20">
      <c r="B31" s="14" t="str">
        <f>+'Flujo Caja'!B13</f>
        <v>FC AIA Negocios Externamente Generados</v>
      </c>
      <c r="C31" s="14"/>
      <c r="D31" s="14"/>
      <c r="E31" s="132">
        <f>+'Flujo Caja'!H13</f>
        <v>4770.0169999999989</v>
      </c>
      <c r="F31" s="132">
        <f>+'Flujo Caja'!I13</f>
        <v>3385.7291200000009</v>
      </c>
      <c r="G31" s="132">
        <f>+'Flujo Caja'!J13</f>
        <v>9156.3056447999988</v>
      </c>
      <c r="H31" s="132">
        <f>+'Flujo Caja'!K13</f>
        <v>8377.729103231999</v>
      </c>
      <c r="I31" s="132">
        <f>+'Flujo Caja'!L13</f>
        <v>13238.971850209276</v>
      </c>
      <c r="J31" s="132">
        <f>+'Flujo Caja'!M13</f>
        <v>19020.328768377658</v>
      </c>
      <c r="K31" s="132">
        <f>+'Flujo Caja'!N13</f>
        <v>20323.864507162165</v>
      </c>
      <c r="L31" s="132">
        <f>+'Flujo Caja'!O13</f>
        <v>21719.31238675032</v>
      </c>
      <c r="M31" s="132">
        <f>+'Flujo Caja'!P13</f>
        <v>23213.263290494833</v>
      </c>
      <c r="N31" s="132">
        <f>+'Flujo Caja'!Q13</f>
        <v>24812.785304147474</v>
      </c>
      <c r="O31" s="132">
        <f>+'Flujo Caja'!R13</f>
        <v>27035.381292288512</v>
      </c>
      <c r="P31" s="132">
        <f>+'Flujo Caja'!S13</f>
        <v>37828.019039185856</v>
      </c>
      <c r="Q31" s="132">
        <f>+'Flujo Caja'!T13</f>
        <v>29753.030924313367</v>
      </c>
      <c r="R31" s="132">
        <f>+'Flujo Caja'!U13</f>
        <v>31814.538666380467</v>
      </c>
      <c r="S31" s="132">
        <f>+'Flujo Caja'!V13</f>
        <v>34022.361921223623</v>
      </c>
      <c r="T31" s="132">
        <f>+'Flujo Caja'!W13</f>
        <v>36387.032618636484</v>
      </c>
    </row>
    <row r="32" spans="2:20">
      <c r="B32" s="14" t="str">
        <f>+'Flujo Caja'!B19</f>
        <v>FC AIA Negocios internamente Generados</v>
      </c>
      <c r="C32" s="14"/>
      <c r="D32" s="14"/>
      <c r="E32" s="132">
        <f>+'Flujo Caja'!H19</f>
        <v>1747.0416528711085</v>
      </c>
      <c r="F32" s="132">
        <f>+'Flujo Caja'!I19</f>
        <v>4877.2304821907228</v>
      </c>
      <c r="G32" s="132">
        <f>+'Flujo Caja'!J19</f>
        <v>8353.3460447268117</v>
      </c>
      <c r="H32" s="132">
        <f>+'Flujo Caja'!K19</f>
        <v>6159.4405199121993</v>
      </c>
      <c r="I32" s="132">
        <f>+'Flujo Caja'!L19</f>
        <v>9307.814115022089</v>
      </c>
      <c r="J32" s="132">
        <f>+'Flujo Caja'!M19</f>
        <v>18477.995529145679</v>
      </c>
      <c r="K32" s="132">
        <f>+'Flujo Caja'!N19</f>
        <v>22460.501550910474</v>
      </c>
      <c r="L32" s="132">
        <f>+'Flujo Caja'!O19</f>
        <v>27316.224897657648</v>
      </c>
      <c r="M32" s="132">
        <f>+'Flujo Caja'!P19</f>
        <v>31046.397759395637</v>
      </c>
      <c r="N32" s="132">
        <f>+'Flujo Caja'!Q19</f>
        <v>34256.565961455126</v>
      </c>
      <c r="O32" s="132">
        <f>+'Flujo Caja'!R19</f>
        <v>37559.320941774728</v>
      </c>
      <c r="P32" s="132">
        <f>+'Flujo Caja'!S19</f>
        <v>53535.516190492206</v>
      </c>
      <c r="Q32" s="132">
        <f>+'Flujo Caja'!T19</f>
        <v>45772.173186559507</v>
      </c>
      <c r="R32" s="132">
        <f>+'Flujo Caja'!U19</f>
        <v>41501.723287250359</v>
      </c>
      <c r="S32" s="132">
        <f>+'Flujo Caja'!V19</f>
        <v>42691.664272973314</v>
      </c>
      <c r="T32" s="132">
        <f>+'Flujo Caja'!W19</f>
        <v>44783.396122123304</v>
      </c>
    </row>
    <row r="33" spans="2:20">
      <c r="B33" s="14" t="str">
        <f>+'Flujo Caja'!B22</f>
        <v>FC contribución negocios</v>
      </c>
      <c r="C33" s="14"/>
      <c r="D33" s="14"/>
      <c r="E33" s="132">
        <f>+'Flujo Caja'!H22</f>
        <v>6517.0586528711074</v>
      </c>
      <c r="F33" s="132">
        <f>+'Flujo Caja'!I22</f>
        <v>8262.9596021907237</v>
      </c>
      <c r="G33" s="132">
        <f>+'Flujo Caja'!J22</f>
        <v>17509.651689526811</v>
      </c>
      <c r="H33" s="132">
        <f>+'Flujo Caja'!K22</f>
        <v>14537.169623144198</v>
      </c>
      <c r="I33" s="132">
        <f>+'Flujo Caja'!L22</f>
        <v>22546.785965231364</v>
      </c>
      <c r="J33" s="132">
        <f>+'Flujo Caja'!M22</f>
        <v>37498.324297523337</v>
      </c>
      <c r="K33" s="132">
        <f>+'Flujo Caja'!N22</f>
        <v>42784.366058072643</v>
      </c>
      <c r="L33" s="132">
        <f>+'Flujo Caja'!O22</f>
        <v>49035.537284407968</v>
      </c>
      <c r="M33" s="132">
        <f>+'Flujo Caja'!P22</f>
        <v>54259.66104989047</v>
      </c>
      <c r="N33" s="132">
        <f>+'Flujo Caja'!Q22</f>
        <v>59069.3512656026</v>
      </c>
      <c r="O33" s="132">
        <f>+'Flujo Caja'!R22</f>
        <v>64594.702234063239</v>
      </c>
      <c r="P33" s="132">
        <f>+'Flujo Caja'!S22</f>
        <v>91363.535229678062</v>
      </c>
      <c r="Q33" s="132">
        <f>+'Flujo Caja'!T22</f>
        <v>75525.204110872874</v>
      </c>
      <c r="R33" s="132">
        <f>+'Flujo Caja'!U22</f>
        <v>73316.261953630834</v>
      </c>
      <c r="S33" s="132">
        <f>+'Flujo Caja'!V22</f>
        <v>76714.026194196937</v>
      </c>
      <c r="T33" s="132">
        <f>+'Flujo Caja'!W22</f>
        <v>81170.428740759788</v>
      </c>
    </row>
    <row r="34" spans="2:20">
      <c r="B34" s="14" t="str">
        <f>+'Flujo Caja'!B27</f>
        <v>FC Gastos</v>
      </c>
      <c r="C34" s="14"/>
      <c r="D34" s="14"/>
      <c r="E34" s="132">
        <f>+'Flujo Caja'!H27</f>
        <v>-16263.453388247181</v>
      </c>
      <c r="F34" s="132">
        <f>+'Flujo Caja'!I27</f>
        <v>-17306.496715378718</v>
      </c>
      <c r="G34" s="132">
        <f>+'Flujo Caja'!J27</f>
        <v>-18417.122992058397</v>
      </c>
      <c r="H34" s="132">
        <f>+'Flujo Caja'!K27</f>
        <v>-19133.740785894042</v>
      </c>
      <c r="I34" s="132">
        <f>+'Flujo Caja'!L27</f>
        <v>-20701.741714367901</v>
      </c>
      <c r="J34" s="132">
        <f>+'Flujo Caja'!M27</f>
        <v>-22006.138205038013</v>
      </c>
      <c r="K34" s="132">
        <f>+'Flujo Caja'!N27</f>
        <v>-24735.991629317421</v>
      </c>
      <c r="L34" s="132">
        <f>+'Flujo Caja'!O27</f>
        <v>-32996.99343232852</v>
      </c>
      <c r="M34" s="132">
        <f>+'Flujo Caja'!P27</f>
        <v>-36515.857865722894</v>
      </c>
      <c r="N34" s="132">
        <f>+'Flujo Caja'!Q27</f>
        <v>-39711.878434413127</v>
      </c>
      <c r="O34" s="132">
        <f>+'Flujo Caja'!R27</f>
        <v>-42608.836367791722</v>
      </c>
      <c r="P34" s="132">
        <f>+'Flujo Caja'!S27</f>
        <v>-43444.762304516335</v>
      </c>
      <c r="Q34" s="132">
        <f>+'Flujo Caja'!T27</f>
        <v>-45266.089515502477</v>
      </c>
      <c r="R34" s="132">
        <f>+'Flujo Caja'!U27</f>
        <v>-47404.123429257961</v>
      </c>
      <c r="S34" s="132">
        <f>+'Flujo Caja'!V27</f>
        <v>-49947.046616764463</v>
      </c>
      <c r="T34" s="132">
        <f>+'Flujo Caja'!W27</f>
        <v>-52805.683565304265</v>
      </c>
    </row>
    <row r="35" spans="2:20">
      <c r="B35" s="14" t="str">
        <f>+'Flujo Caja'!B28</f>
        <v>FC Operativo total</v>
      </c>
      <c r="C35" s="14"/>
      <c r="D35" s="14"/>
      <c r="E35" s="132">
        <f>+'Flujo Caja'!H28</f>
        <v>-9746.3947353760741</v>
      </c>
      <c r="F35" s="132">
        <f>+'Flujo Caja'!I28</f>
        <v>-9043.5371131879929</v>
      </c>
      <c r="G35" s="132">
        <f>+'Flujo Caja'!J28</f>
        <v>-907.47130253158844</v>
      </c>
      <c r="H35" s="132">
        <f>+'Flujo Caja'!K28</f>
        <v>-4596.5711627498458</v>
      </c>
      <c r="I35" s="132">
        <f>+'Flujo Caja'!L28</f>
        <v>1845.0442508634624</v>
      </c>
      <c r="J35" s="132">
        <f>+'Flujo Caja'!M28</f>
        <v>15492.186092485324</v>
      </c>
      <c r="K35" s="132">
        <f>+'Flujo Caja'!N28</f>
        <v>18048.374428755222</v>
      </c>
      <c r="L35" s="132">
        <f>+'Flujo Caja'!O28</f>
        <v>16038.543852079447</v>
      </c>
      <c r="M35" s="132">
        <f>+'Flujo Caja'!P28</f>
        <v>17743.803184167577</v>
      </c>
      <c r="N35" s="132">
        <f>+'Flujo Caja'!Q28</f>
        <v>19357.472831189469</v>
      </c>
      <c r="O35" s="132">
        <f>+'Flujo Caja'!R28</f>
        <v>21985.865866271521</v>
      </c>
      <c r="P35" s="132">
        <f>+'Flujo Caja'!S28</f>
        <v>47918.772925161727</v>
      </c>
      <c r="Q35" s="132">
        <f>+'Flujo Caja'!T28</f>
        <v>30259.114595370396</v>
      </c>
      <c r="R35" s="132">
        <f>+'Flujo Caja'!U28</f>
        <v>25912.138524372869</v>
      </c>
      <c r="S35" s="132">
        <f>+'Flujo Caja'!V28</f>
        <v>26766.979577432478</v>
      </c>
      <c r="T35" s="132">
        <f>+'Flujo Caja'!W28</f>
        <v>28364.745175455522</v>
      </c>
    </row>
    <row r="36" spans="2:20">
      <c r="B36" s="14"/>
      <c r="C36" s="14"/>
      <c r="D36" s="14"/>
      <c r="E36" s="14" t="s">
        <v>650</v>
      </c>
      <c r="F36" s="14" t="s">
        <v>650</v>
      </c>
      <c r="G36" s="14" t="s">
        <v>650</v>
      </c>
      <c r="H36" s="14" t="s">
        <v>650</v>
      </c>
      <c r="I36" s="14" t="s">
        <v>650</v>
      </c>
      <c r="J36" s="14" t="s">
        <v>650</v>
      </c>
      <c r="K36" s="14" t="s">
        <v>650</v>
      </c>
      <c r="L36" s="14" t="s">
        <v>650</v>
      </c>
      <c r="M36" s="14" t="s">
        <v>650</v>
      </c>
      <c r="N36" s="14" t="s">
        <v>650</v>
      </c>
      <c r="O36" s="14" t="s">
        <v>650</v>
      </c>
      <c r="P36" s="14" t="s">
        <v>650</v>
      </c>
      <c r="Q36" s="14" t="s">
        <v>650</v>
      </c>
      <c r="R36" s="14" t="s">
        <v>650</v>
      </c>
      <c r="S36" s="14" t="s">
        <v>650</v>
      </c>
      <c r="T36" s="14" t="s">
        <v>650</v>
      </c>
    </row>
    <row r="37" spans="2:20">
      <c r="B37" s="14" t="str">
        <f>+'Flujo Caja'!B35</f>
        <v>Flujo Caja Inversión</v>
      </c>
      <c r="C37" s="14"/>
      <c r="D37" s="14"/>
      <c r="E37" s="132">
        <f>+'Flujo Caja'!H35</f>
        <v>-3712</v>
      </c>
      <c r="F37" s="132">
        <f>+'Flujo Caja'!I35</f>
        <v>-847.65844773499975</v>
      </c>
      <c r="G37" s="132">
        <f>+'Flujo Caja'!J35</f>
        <v>-6022.3488000000007</v>
      </c>
      <c r="H37" s="132">
        <f>+'Flujo Caja'!K35</f>
        <v>-3463.242752000001</v>
      </c>
      <c r="I37" s="132">
        <f>+'Flujo Caja'!L35</f>
        <v>-2801.7724620800018</v>
      </c>
      <c r="J37" s="132">
        <f>+'Flujo Caja'!M35</f>
        <v>-3171.0499864576022</v>
      </c>
      <c r="K37" s="132">
        <f>+'Flujo Caja'!N35</f>
        <v>-3371.3795933143056</v>
      </c>
      <c r="L37" s="132">
        <f>+'Flujo Caja'!O35</f>
        <v>-3506.2347770468778</v>
      </c>
      <c r="M37" s="132">
        <f>+'Flujo Caja'!P35</f>
        <v>-3646.4841681287526</v>
      </c>
      <c r="N37" s="132">
        <f>+'Flujo Caja'!Q35</f>
        <v>-2020.8969089595048</v>
      </c>
      <c r="O37" s="132">
        <f>+'Flujo Caja'!R35</f>
        <v>4870.1018586038454</v>
      </c>
      <c r="P37" s="132">
        <f>+'Flujo Caja'!S35</f>
        <v>6187.9154825418282</v>
      </c>
      <c r="Q37" s="132">
        <f>+'Flujo Caja'!T35</f>
        <v>-1725.8065604377152</v>
      </c>
      <c r="R37" s="132">
        <f>+'Flujo Caja'!U35</f>
        <v>-1794.8388228552212</v>
      </c>
      <c r="S37" s="132">
        <f>+'Flujo Caja'!V35</f>
        <v>-8332.3394122927602</v>
      </c>
      <c r="T37" s="132">
        <f>+'Flujo Caja'!W35</f>
        <v>-3788.6425383783007</v>
      </c>
    </row>
    <row r="38" spans="2:20">
      <c r="B38" s="14" t="str">
        <f>+'Flujo Caja'!B38</f>
        <v xml:space="preserve">Flujo caja Libre </v>
      </c>
      <c r="C38" s="14"/>
      <c r="D38" s="14"/>
      <c r="E38" s="132">
        <f>+'Flujo Caja'!H38</f>
        <v>-13458.394735376074</v>
      </c>
      <c r="F38" s="132">
        <f>+'Flujo Caja'!I38</f>
        <v>-9891.1955609229917</v>
      </c>
      <c r="G38" s="132">
        <f>+'Flujo Caja'!J38</f>
        <v>-6929.8201025315893</v>
      </c>
      <c r="H38" s="132">
        <f>+'Flujo Caja'!K38</f>
        <v>-8059.8139147498468</v>
      </c>
      <c r="I38" s="132">
        <f>+'Flujo Caja'!L38</f>
        <v>-956.72821121653942</v>
      </c>
      <c r="J38" s="132">
        <f>+'Flujo Caja'!M38</f>
        <v>12321.136106027723</v>
      </c>
      <c r="K38" s="132">
        <f>+'Flujo Caja'!N38</f>
        <v>14676.994835440917</v>
      </c>
      <c r="L38" s="132">
        <f>+'Flujo Caja'!O38</f>
        <v>12532.309075032568</v>
      </c>
      <c r="M38" s="132">
        <f>+'Flujo Caja'!P38</f>
        <v>14097.319016038824</v>
      </c>
      <c r="N38" s="132">
        <f>+'Flujo Caja'!Q38</f>
        <v>17336.575922229964</v>
      </c>
      <c r="O38" s="132">
        <f>+'Flujo Caja'!R38</f>
        <v>26855.967724875365</v>
      </c>
      <c r="P38" s="132">
        <f>+'Flujo Caja'!S38</f>
        <v>54106.688407703557</v>
      </c>
      <c r="Q38" s="132">
        <f>+'Flujo Caja'!T38</f>
        <v>28533.308034932681</v>
      </c>
      <c r="R38" s="132">
        <f>+'Flujo Caja'!U38</f>
        <v>24117.299701517648</v>
      </c>
      <c r="S38" s="132">
        <f>+'Flujo Caja'!V38</f>
        <v>18434.640165139717</v>
      </c>
      <c r="T38" s="132">
        <f>+'Flujo Caja'!W38</f>
        <v>24576.102637077223</v>
      </c>
    </row>
    <row r="39" spans="2:20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0">
      <c r="B40" s="14" t="str">
        <f>+'Flujo Caja'!B41</f>
        <v>FC Recuperación Cajas Atrapadas</v>
      </c>
      <c r="C40" s="14"/>
      <c r="D40" s="14"/>
      <c r="E40" s="132">
        <f>+'Flujo Caja'!H41</f>
        <v>2825.0695449999998</v>
      </c>
      <c r="F40" s="132">
        <f>+'Flujo Caja'!I41</f>
        <v>260.77101600000003</v>
      </c>
      <c r="G40" s="132">
        <f>+'Flujo Caja'!J41</f>
        <v>7160.66597</v>
      </c>
      <c r="H40" s="132">
        <f>+'Flujo Caja'!K41</f>
        <v>0</v>
      </c>
      <c r="I40" s="132">
        <f>+'Flujo Caja'!L41</f>
        <v>0</v>
      </c>
      <c r="J40" s="132">
        <f>+'Flujo Caja'!M41</f>
        <v>0</v>
      </c>
      <c r="K40" s="132">
        <f>+'Flujo Caja'!N41</f>
        <v>0</v>
      </c>
      <c r="L40" s="132">
        <f>+'Flujo Caja'!O41</f>
        <v>0</v>
      </c>
      <c r="M40" s="132">
        <f>+'Flujo Caja'!P41</f>
        <v>0</v>
      </c>
      <c r="N40" s="132">
        <f>+'Flujo Caja'!Q41</f>
        <v>0</v>
      </c>
      <c r="O40" s="132">
        <f>+'Flujo Caja'!R41</f>
        <v>0</v>
      </c>
      <c r="P40" s="132">
        <f>+'Flujo Caja'!S41</f>
        <v>0</v>
      </c>
      <c r="Q40" s="132">
        <f>+'Flujo Caja'!T41</f>
        <v>0</v>
      </c>
      <c r="R40" s="132">
        <f>+'Flujo Caja'!U41</f>
        <v>0</v>
      </c>
      <c r="S40" s="132">
        <f>+'Flujo Caja'!V41</f>
        <v>0</v>
      </c>
      <c r="T40" s="132">
        <f>+'Flujo Caja'!W41</f>
        <v>0</v>
      </c>
    </row>
    <row r="41" spans="2:20">
      <c r="B41" s="14" t="str">
        <f>+'Flujo Caja'!B44</f>
        <v>FC Venta Activos</v>
      </c>
      <c r="C41" s="14"/>
      <c r="D41" s="14"/>
      <c r="E41" s="132">
        <f>+'Flujo Caja'!H44</f>
        <v>40363.349136388497</v>
      </c>
      <c r="F41" s="132">
        <f>+'Flujo Caja'!I44</f>
        <v>34640.707915921499</v>
      </c>
      <c r="G41" s="132">
        <f>+'Flujo Caja'!J44</f>
        <v>0</v>
      </c>
      <c r="H41" s="132">
        <f>+'Flujo Caja'!K44</f>
        <v>14690.065288129997</v>
      </c>
      <c r="I41" s="132">
        <f>+'Flujo Caja'!L44</f>
        <v>2912.4433333333336</v>
      </c>
      <c r="J41" s="132">
        <f>+'Flujo Caja'!M44</f>
        <v>2591.876666666667</v>
      </c>
      <c r="K41" s="132">
        <f>+'Flujo Caja'!N44</f>
        <v>3233.01</v>
      </c>
      <c r="L41" s="132">
        <f>+'Flujo Caja'!O44</f>
        <v>0</v>
      </c>
      <c r="M41" s="132">
        <f>+'Flujo Caja'!P44</f>
        <v>0</v>
      </c>
      <c r="N41" s="132">
        <f>+'Flujo Caja'!Q44</f>
        <v>0</v>
      </c>
      <c r="O41" s="132">
        <f>+'Flujo Caja'!R44</f>
        <v>0</v>
      </c>
      <c r="P41" s="132">
        <f>+'Flujo Caja'!S44</f>
        <v>0</v>
      </c>
      <c r="Q41" s="132">
        <f>+'Flujo Caja'!T44</f>
        <v>0</v>
      </c>
      <c r="R41" s="132">
        <f>+'Flujo Caja'!U44</f>
        <v>0</v>
      </c>
      <c r="S41" s="132">
        <f>+'Flujo Caja'!V44</f>
        <v>0</v>
      </c>
      <c r="T41" s="132">
        <f>+'Flujo Caja'!W44</f>
        <v>0</v>
      </c>
    </row>
    <row r="42" spans="2:20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2:20">
      <c r="B43" s="14" t="str">
        <f>+'Flujo Caja'!B47</f>
        <v>FC AIA total sin 1116</v>
      </c>
      <c r="C43" s="14"/>
      <c r="D43" s="14"/>
      <c r="E43" s="132">
        <f>+'Flujo Caja'!H47</f>
        <v>29730.023946012421</v>
      </c>
      <c r="F43" s="132">
        <f>+'Flujo Caja'!I47</f>
        <v>25010.283370998506</v>
      </c>
      <c r="G43" s="132">
        <f>+'Flujo Caja'!J47</f>
        <v>230.84586746841069</v>
      </c>
      <c r="H43" s="132">
        <f>+'Flujo Caja'!K47</f>
        <v>6630.2513733801507</v>
      </c>
      <c r="I43" s="132">
        <f>+'Flujo Caja'!L47</f>
        <v>1955.7151221167942</v>
      </c>
      <c r="J43" s="132">
        <f>+'Flujo Caja'!M47</f>
        <v>14913.01277269439</v>
      </c>
      <c r="K43" s="132">
        <f>+'Flujo Caja'!N47</f>
        <v>17910.004835440915</v>
      </c>
      <c r="L43" s="132">
        <f>+'Flujo Caja'!O47</f>
        <v>12532.309075032568</v>
      </c>
      <c r="M43" s="132">
        <f>+'Flujo Caja'!P47</f>
        <v>14097.319016038824</v>
      </c>
      <c r="N43" s="132">
        <f>+'Flujo Caja'!Q47</f>
        <v>17336.575922229964</v>
      </c>
      <c r="O43" s="132">
        <f>+'Flujo Caja'!R47</f>
        <v>26855.967724875365</v>
      </c>
      <c r="P43" s="132">
        <f>+'Flujo Caja'!S47</f>
        <v>54106.688407703557</v>
      </c>
      <c r="Q43" s="132">
        <f>+'Flujo Caja'!T47</f>
        <v>28533.308034932681</v>
      </c>
      <c r="R43" s="132">
        <f>+'Flujo Caja'!U47</f>
        <v>24117.299701517648</v>
      </c>
      <c r="S43" s="132">
        <f>+'Flujo Caja'!V47</f>
        <v>18434.640165139717</v>
      </c>
      <c r="T43" s="132">
        <f>+'Flujo Caja'!W47</f>
        <v>24576.102637077223</v>
      </c>
    </row>
    <row r="44" spans="2:20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2:20">
      <c r="B45" s="14" t="str">
        <f>+'Flujo Caja'!B51</f>
        <v>Pasivo Pensional</v>
      </c>
      <c r="C45" s="14"/>
      <c r="D45" s="14"/>
      <c r="E45" s="132">
        <f>+'Flujo Caja'!H51</f>
        <v>-3000</v>
      </c>
      <c r="F45" s="132">
        <f>+'Flujo Caja'!I51</f>
        <v>-406</v>
      </c>
      <c r="G45" s="132">
        <f>+'Flujo Caja'!J51</f>
        <v>-406</v>
      </c>
      <c r="H45" s="132">
        <f>+'Flujo Caja'!K51</f>
        <v>-406</v>
      </c>
      <c r="I45" s="132">
        <f>+'Flujo Caja'!L51</f>
        <v>-406</v>
      </c>
      <c r="J45" s="132">
        <f>+'Flujo Caja'!M51</f>
        <v>-406</v>
      </c>
      <c r="K45" s="132">
        <f>+'Flujo Caja'!N51</f>
        <v>-406</v>
      </c>
      <c r="L45" s="132">
        <f>+'Flujo Caja'!O51</f>
        <v>-406</v>
      </c>
      <c r="M45" s="132">
        <f>+'Flujo Caja'!P51</f>
        <v>-406</v>
      </c>
      <c r="N45" s="132">
        <f>+'Flujo Caja'!Q51</f>
        <v>-406</v>
      </c>
      <c r="O45" s="132">
        <f>+'Flujo Caja'!R51</f>
        <v>-406</v>
      </c>
      <c r="P45" s="132">
        <f>+'Flujo Caja'!S51</f>
        <v>-1624</v>
      </c>
      <c r="Q45" s="132">
        <f>+'Flujo Caja'!T51</f>
        <v>0</v>
      </c>
      <c r="R45" s="132">
        <f>+'Flujo Caja'!U51</f>
        <v>0</v>
      </c>
      <c r="S45" s="132">
        <f>+'Flujo Caja'!V51</f>
        <v>0</v>
      </c>
      <c r="T45" s="132">
        <f>+'Flujo Caja'!W51</f>
        <v>0</v>
      </c>
    </row>
    <row r="46" spans="2:20">
      <c r="B46" s="14" t="str">
        <f>+'Flujo Caja'!B81</f>
        <v>Pago total</v>
      </c>
      <c r="C46" s="14"/>
      <c r="D46" s="14"/>
      <c r="E46" s="132">
        <f>+'Flujo Caja'!H56</f>
        <v>-24227.532923753999</v>
      </c>
      <c r="F46" s="132">
        <f>+'Flujo Caja'!I56</f>
        <v>-25605.078975</v>
      </c>
      <c r="G46" s="132">
        <f>+'Flujo Caja'!J56</f>
        <v>0</v>
      </c>
      <c r="H46" s="132">
        <f>+'Flujo Caja'!K56</f>
        <v>-6800</v>
      </c>
      <c r="I46" s="132">
        <f>+'Flujo Caja'!L56</f>
        <v>-1800</v>
      </c>
      <c r="J46" s="132">
        <f>+'Flujo Caja'!M56</f>
        <v>-12000</v>
      </c>
      <c r="K46" s="132">
        <f>+'Flujo Caja'!N56</f>
        <v>-16800</v>
      </c>
      <c r="L46" s="132">
        <f>+'Flujo Caja'!O56</f>
        <v>-13876.8</v>
      </c>
      <c r="M46" s="132">
        <f>+'Flujo Caja'!P56</f>
        <v>-9000</v>
      </c>
      <c r="N46" s="132">
        <f>+'Flujo Caja'!Q56</f>
        <v>-17320.8</v>
      </c>
      <c r="O46" s="132">
        <f>+'Flujo Caja'!R56</f>
        <v>-24000</v>
      </c>
      <c r="P46" s="132">
        <f>+'Flujo Caja'!S56</f>
        <v>-60786.705815866007</v>
      </c>
      <c r="Q46" s="132">
        <f>+'Flujo Caja'!T56</f>
        <v>0</v>
      </c>
      <c r="R46" s="132">
        <f>+'Flujo Caja'!U56</f>
        <v>0</v>
      </c>
      <c r="S46" s="132">
        <f>+'Flujo Caja'!V56</f>
        <v>0</v>
      </c>
      <c r="T46" s="132">
        <f>+'Flujo Caja'!W56</f>
        <v>0</v>
      </c>
    </row>
    <row r="47" spans="2:20">
      <c r="B47" s="14" t="str">
        <f>+'Flujo Caja'!B82</f>
        <v>Pago a principal</v>
      </c>
      <c r="C47" s="14"/>
      <c r="D47" s="14"/>
      <c r="E47" s="132">
        <f>-+'Flujo Caja'!H82</f>
        <v>-24099.164124999999</v>
      </c>
      <c r="F47" s="132">
        <f>-+'Flujo Caja'!I82</f>
        <v>-25605.078975</v>
      </c>
      <c r="G47" s="132">
        <f>-+'Flujo Caja'!J82</f>
        <v>0</v>
      </c>
      <c r="H47" s="132">
        <f>-+'Flujo Caja'!K82</f>
        <v>-6000</v>
      </c>
      <c r="I47" s="132">
        <f>-+'Flujo Caja'!L82</f>
        <v>-1500</v>
      </c>
      <c r="J47" s="132">
        <f>-+'Flujo Caja'!M82</f>
        <v>-10000</v>
      </c>
      <c r="K47" s="132">
        <f>-+'Flujo Caja'!N82</f>
        <v>-14000</v>
      </c>
      <c r="L47" s="132">
        <f>-+'Flujo Caja'!O82</f>
        <v>-11564</v>
      </c>
      <c r="M47" s="132">
        <f>-+'Flujo Caja'!P82</f>
        <v>-7500</v>
      </c>
      <c r="N47" s="132">
        <f>-+'Flujo Caja'!Q82</f>
        <v>-14434</v>
      </c>
      <c r="O47" s="132">
        <f>-+'Flujo Caja'!R82</f>
        <v>-20000</v>
      </c>
      <c r="P47" s="132">
        <f>-+'Flujo Caja'!S82</f>
        <v>-13882.073155000002</v>
      </c>
      <c r="Q47" s="132">
        <f>-+'Flujo Caja'!T82</f>
        <v>0</v>
      </c>
      <c r="R47" s="132">
        <f>-+'Flujo Caja'!U82</f>
        <v>0</v>
      </c>
      <c r="S47" s="132">
        <f>-+'Flujo Caja'!V82</f>
        <v>0</v>
      </c>
      <c r="T47" s="132">
        <f>-+'Flujo Caja'!W82</f>
        <v>0</v>
      </c>
    </row>
    <row r="48" spans="2:20">
      <c r="B48" s="14" t="str">
        <f>+'Flujo Caja'!B83</f>
        <v>Pago intereses</v>
      </c>
      <c r="C48" s="14"/>
      <c r="D48" s="14"/>
      <c r="E48" s="132">
        <f>-+'Flujo Caja'!H83</f>
        <v>-128.36879875400001</v>
      </c>
      <c r="F48" s="132">
        <f>-+'Flujo Caja'!I83</f>
        <v>0</v>
      </c>
      <c r="G48" s="132">
        <f>-+'Flujo Caja'!J83</f>
        <v>0</v>
      </c>
      <c r="H48" s="132">
        <f>-+'Flujo Caja'!K83</f>
        <v>-800</v>
      </c>
      <c r="I48" s="132">
        <f>-+'Flujo Caja'!L83</f>
        <v>-300</v>
      </c>
      <c r="J48" s="132">
        <f>-+'Flujo Caja'!M83</f>
        <v>-2000</v>
      </c>
      <c r="K48" s="132">
        <f>-+'Flujo Caja'!N83</f>
        <v>-2800</v>
      </c>
      <c r="L48" s="132">
        <f>-+'Flujo Caja'!O83</f>
        <v>-2312.8000000000002</v>
      </c>
      <c r="M48" s="132">
        <f>-+'Flujo Caja'!P83</f>
        <v>-1500</v>
      </c>
      <c r="N48" s="132">
        <f>-+'Flujo Caja'!Q83</f>
        <v>-2886.8</v>
      </c>
      <c r="O48" s="132">
        <f>-+'Flujo Caja'!R83</f>
        <v>-4000</v>
      </c>
      <c r="P48" s="132">
        <f>-+'Flujo Caja'!S83</f>
        <v>-46904.632660866009</v>
      </c>
      <c r="Q48" s="132">
        <f>-+'Flujo Caja'!T83</f>
        <v>0</v>
      </c>
      <c r="R48" s="132">
        <f>-+'Flujo Caja'!U83</f>
        <v>0</v>
      </c>
      <c r="S48" s="132">
        <f>-+'Flujo Caja'!V83</f>
        <v>0</v>
      </c>
      <c r="T48" s="132">
        <f>-+'Flujo Caja'!W83</f>
        <v>0</v>
      </c>
    </row>
    <row r="49" spans="2:20">
      <c r="B49" s="14" t="str">
        <f>+'Flujo Caja'!B50</f>
        <v>FC Ley 1116</v>
      </c>
      <c r="C49" s="14"/>
      <c r="D49" s="14"/>
      <c r="E49" s="132">
        <f>+'Flujo Caja'!H59</f>
        <v>-27227.532923753999</v>
      </c>
      <c r="F49" s="132">
        <f>+'Flujo Caja'!I59</f>
        <v>-26011.078975</v>
      </c>
      <c r="G49" s="132">
        <f>+'Flujo Caja'!J59</f>
        <v>-406</v>
      </c>
      <c r="H49" s="132">
        <f>+'Flujo Caja'!K59</f>
        <v>-7206</v>
      </c>
      <c r="I49" s="132">
        <f>+'Flujo Caja'!L59</f>
        <v>-2206</v>
      </c>
      <c r="J49" s="132">
        <f>+'Flujo Caja'!M59</f>
        <v>-12406</v>
      </c>
      <c r="K49" s="132">
        <f>+'Flujo Caja'!N59</f>
        <v>-17206</v>
      </c>
      <c r="L49" s="132">
        <f>+'Flujo Caja'!O59</f>
        <v>-14282.8</v>
      </c>
      <c r="M49" s="132">
        <f>+'Flujo Caja'!P59</f>
        <v>-9406</v>
      </c>
      <c r="N49" s="132">
        <f>+'Flujo Caja'!Q59</f>
        <v>-17726.8</v>
      </c>
      <c r="O49" s="132">
        <f>+'Flujo Caja'!R59</f>
        <v>-24406</v>
      </c>
      <c r="P49" s="132">
        <f>+'Flujo Caja'!S59</f>
        <v>-62410.705815866007</v>
      </c>
      <c r="Q49" s="132">
        <f>+'Flujo Caja'!T59</f>
        <v>0</v>
      </c>
      <c r="R49" s="132">
        <f>+'Flujo Caja'!U59</f>
        <v>0</v>
      </c>
      <c r="S49" s="132">
        <f>+'Flujo Caja'!V59</f>
        <v>0</v>
      </c>
      <c r="T49" s="132">
        <f>+'Flujo Caja'!W59</f>
        <v>0</v>
      </c>
    </row>
    <row r="50" spans="2:20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>
      <c r="B51" s="14" t="str">
        <f>+'Flujo Caja'!B63</f>
        <v>FC total AIA</v>
      </c>
      <c r="C51" s="14"/>
      <c r="D51" s="14"/>
      <c r="E51" s="132">
        <f>+'Flujo Caja'!H63</f>
        <v>2502.4910222584222</v>
      </c>
      <c r="F51" s="132">
        <f>+'Flujo Caja'!I63</f>
        <v>-1000.7956040014942</v>
      </c>
      <c r="G51" s="132">
        <f>+'Flujo Caja'!J63</f>
        <v>-175.15413253158931</v>
      </c>
      <c r="H51" s="132">
        <f>+'Flujo Caja'!K63</f>
        <v>-575.74862661984935</v>
      </c>
      <c r="I51" s="132">
        <f>+'Flujo Caja'!L63</f>
        <v>-250.28487788320581</v>
      </c>
      <c r="J51" s="132">
        <f>+'Flujo Caja'!M63</f>
        <v>2507.0127726943902</v>
      </c>
      <c r="K51" s="132">
        <f>+'Flujo Caja'!N63</f>
        <v>704.00483544091549</v>
      </c>
      <c r="L51" s="132">
        <f>+'Flujo Caja'!O63</f>
        <v>-1750.4909249674311</v>
      </c>
      <c r="M51" s="132">
        <f>+'Flujo Caja'!P63</f>
        <v>4691.319016038824</v>
      </c>
      <c r="N51" s="132">
        <f>+'Flujo Caja'!Q63</f>
        <v>-390.22407777003536</v>
      </c>
      <c r="O51" s="132">
        <f>+'Flujo Caja'!R63</f>
        <v>2449.9677248753651</v>
      </c>
      <c r="P51" s="132">
        <f>+'Flujo Caja'!S63</f>
        <v>-8304.01740816245</v>
      </c>
      <c r="Q51" s="132">
        <f>+'Flujo Caja'!T63</f>
        <v>28533.308034932681</v>
      </c>
      <c r="R51" s="132">
        <f>+'Flujo Caja'!U63</f>
        <v>24117.299701517648</v>
      </c>
      <c r="S51" s="132">
        <f>+'Flujo Caja'!V63</f>
        <v>18434.640165139717</v>
      </c>
      <c r="T51" s="132">
        <f>+'Flujo Caja'!W63</f>
        <v>24576.102637077223</v>
      </c>
    </row>
    <row r="52" spans="2:20">
      <c r="B52" s="14" t="s">
        <v>318</v>
      </c>
      <c r="C52" s="14"/>
      <c r="D52" s="14"/>
      <c r="E52" s="132">
        <f>+E51</f>
        <v>2502.4910222584222</v>
      </c>
      <c r="F52" s="132">
        <f>+'Flujo Caja'!I64</f>
        <v>1501.695418256928</v>
      </c>
      <c r="G52" s="132">
        <f>+'Flujo Caja'!J64</f>
        <v>1326.5412857253386</v>
      </c>
      <c r="H52" s="132">
        <f>+'Flujo Caja'!K64</f>
        <v>750.79265910548929</v>
      </c>
      <c r="I52" s="132">
        <f>+'Flujo Caja'!L64</f>
        <v>500.50778122228348</v>
      </c>
      <c r="J52" s="132">
        <f>+'Flujo Caja'!M64</f>
        <v>3007.5205539166736</v>
      </c>
      <c r="K52" s="132">
        <f>+'Flujo Caja'!N64</f>
        <v>3711.5253893575891</v>
      </c>
      <c r="L52" s="132">
        <f>+'Flujo Caja'!O64</f>
        <v>1961.0344643901581</v>
      </c>
      <c r="M52" s="132">
        <f>+'Flujo Caja'!P64</f>
        <v>6652.353480428982</v>
      </c>
      <c r="N52" s="132">
        <f>+'Flujo Caja'!Q64</f>
        <v>6262.1294026589467</v>
      </c>
      <c r="O52" s="132">
        <f>+'Flujo Caja'!R64</f>
        <v>8712.0971275343109</v>
      </c>
      <c r="P52" s="132">
        <f>+'Flujo Caja'!S64</f>
        <v>408.07971937186085</v>
      </c>
      <c r="Q52" s="132">
        <f>+'Flujo Caja'!T64</f>
        <v>28941.387754304542</v>
      </c>
      <c r="R52" s="132">
        <f>+'Flujo Caja'!U64</f>
        <v>53058.68745582219</v>
      </c>
      <c r="S52" s="132">
        <f>+'Flujo Caja'!V64</f>
        <v>71493.327620961907</v>
      </c>
      <c r="T52" s="132">
        <f>+'Flujo Caja'!W64</f>
        <v>96069.430258039123</v>
      </c>
    </row>
  </sheetData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B3:Y80"/>
  <sheetViews>
    <sheetView workbookViewId="0">
      <selection activeCell="K76" sqref="K76:S87"/>
    </sheetView>
  </sheetViews>
  <sheetFormatPr baseColWidth="10" defaultRowHeight="16"/>
  <cols>
    <col min="4" max="4" width="17.33203125" bestFit="1" customWidth="1"/>
    <col min="8" max="8" width="15.1640625" bestFit="1" customWidth="1"/>
    <col min="15" max="15" width="15" bestFit="1" customWidth="1"/>
  </cols>
  <sheetData>
    <row r="3" spans="2:10" ht="29">
      <c r="B3" s="365" t="s">
        <v>679</v>
      </c>
    </row>
    <row r="4" spans="2:10" ht="29">
      <c r="B4" s="365"/>
    </row>
    <row r="5" spans="2:10">
      <c r="B5" t="s">
        <v>661</v>
      </c>
    </row>
    <row r="6" spans="2:10">
      <c r="C6" t="s">
        <v>674</v>
      </c>
      <c r="I6" t="s">
        <v>636</v>
      </c>
    </row>
    <row r="7" spans="2:10">
      <c r="C7" t="s">
        <v>675</v>
      </c>
      <c r="I7" t="s">
        <v>636</v>
      </c>
    </row>
    <row r="8" spans="2:10">
      <c r="C8" t="s">
        <v>676</v>
      </c>
      <c r="I8" t="s">
        <v>662</v>
      </c>
    </row>
    <row r="9" spans="2:10">
      <c r="C9" t="s">
        <v>677</v>
      </c>
      <c r="I9" t="s">
        <v>663</v>
      </c>
    </row>
    <row r="11" spans="2:10">
      <c r="B11" t="s">
        <v>664</v>
      </c>
    </row>
    <row r="12" spans="2:10">
      <c r="C12" t="s">
        <v>665</v>
      </c>
    </row>
    <row r="13" spans="2:10">
      <c r="D13" t="s">
        <v>667</v>
      </c>
    </row>
    <row r="14" spans="2:10">
      <c r="D14" t="s">
        <v>666</v>
      </c>
    </row>
    <row r="15" spans="2:10">
      <c r="C15" s="386" t="s">
        <v>731</v>
      </c>
      <c r="D15" s="386"/>
      <c r="E15" s="386"/>
      <c r="F15" s="386"/>
      <c r="G15" s="386"/>
      <c r="H15" s="386"/>
      <c r="I15" s="386"/>
      <c r="J15" s="386"/>
    </row>
    <row r="17" spans="2:25" ht="29" customHeight="1"/>
    <row r="19" spans="2:25">
      <c r="B19" t="s">
        <v>668</v>
      </c>
    </row>
    <row r="20" spans="2:25">
      <c r="C20" t="s">
        <v>678</v>
      </c>
    </row>
    <row r="21" spans="2:25">
      <c r="B21" t="s">
        <v>669</v>
      </c>
      <c r="C21" t="s">
        <v>736</v>
      </c>
      <c r="H21" s="3">
        <f>+Proyecciones!C93+Proyecciones!C94</f>
        <v>20740279539.053001</v>
      </c>
    </row>
    <row r="22" spans="2:25">
      <c r="C22" t="s">
        <v>733</v>
      </c>
      <c r="H22" s="3">
        <f>+Proyecciones!C92</f>
        <v>54100361218.265999</v>
      </c>
    </row>
    <row r="23" spans="2:25">
      <c r="C23" t="s">
        <v>734</v>
      </c>
      <c r="H23" s="3">
        <f>+Proyecciones!C95</f>
        <v>17000000000</v>
      </c>
    </row>
    <row r="24" spans="2:25">
      <c r="C24" t="s">
        <v>735</v>
      </c>
      <c r="H24" s="3">
        <f>+H23+H22+H21</f>
        <v>91840640757.319</v>
      </c>
    </row>
    <row r="25" spans="2:25" ht="30" customHeight="1">
      <c r="C25" s="386" t="s">
        <v>672</v>
      </c>
      <c r="D25" s="386"/>
      <c r="E25" s="386"/>
      <c r="F25" s="386"/>
      <c r="G25" s="386"/>
      <c r="H25" s="386"/>
      <c r="I25" s="386"/>
      <c r="J25" s="386"/>
      <c r="K25" s="386"/>
    </row>
    <row r="26" spans="2:25" ht="29" customHeight="1">
      <c r="B26" t="s">
        <v>671</v>
      </c>
      <c r="C26" s="386" t="s">
        <v>670</v>
      </c>
      <c r="D26" s="386"/>
      <c r="E26" s="386"/>
      <c r="F26" s="386"/>
      <c r="G26" s="386"/>
      <c r="H26" s="386"/>
      <c r="I26" s="386"/>
      <c r="J26" s="386"/>
      <c r="K26" s="386"/>
    </row>
    <row r="27" spans="2:25">
      <c r="C27" s="386" t="s">
        <v>672</v>
      </c>
      <c r="D27" s="386"/>
      <c r="E27" s="386"/>
      <c r="F27" s="386"/>
      <c r="G27" s="386"/>
      <c r="H27" s="386"/>
      <c r="I27" s="386"/>
      <c r="J27" s="386"/>
      <c r="K27" s="386"/>
    </row>
    <row r="28" spans="2:25">
      <c r="B28" t="s">
        <v>673</v>
      </c>
      <c r="C28" s="366"/>
      <c r="D28" s="366"/>
      <c r="E28" s="366"/>
      <c r="F28" s="366"/>
      <c r="G28" s="366"/>
      <c r="H28" s="366"/>
      <c r="I28" s="366"/>
      <c r="J28" s="366"/>
      <c r="K28" s="366"/>
    </row>
    <row r="29" spans="2:25">
      <c r="C29" s="386" t="s">
        <v>737</v>
      </c>
      <c r="D29" s="386"/>
      <c r="E29" s="386"/>
      <c r="F29" s="386"/>
      <c r="G29" s="386"/>
      <c r="H29" s="386"/>
      <c r="I29" s="386"/>
      <c r="J29" s="386"/>
      <c r="K29" s="386"/>
    </row>
    <row r="31" spans="2:25" s="169" customFormat="1">
      <c r="B31" s="172"/>
      <c r="C31" s="172"/>
      <c r="D31" s="172"/>
      <c r="E31" s="172">
        <v>2017</v>
      </c>
      <c r="F31" s="172">
        <f>+E31+1</f>
        <v>2018</v>
      </c>
      <c r="G31" s="172">
        <f t="shared" ref="G31:W31" si="0">+F31+1</f>
        <v>2019</v>
      </c>
      <c r="H31" s="172">
        <f t="shared" si="0"/>
        <v>2020</v>
      </c>
      <c r="I31" s="172">
        <f t="shared" si="0"/>
        <v>2021</v>
      </c>
      <c r="J31" s="172">
        <f t="shared" si="0"/>
        <v>2022</v>
      </c>
      <c r="K31" s="172">
        <f t="shared" si="0"/>
        <v>2023</v>
      </c>
      <c r="L31" s="172">
        <f t="shared" si="0"/>
        <v>2024</v>
      </c>
      <c r="M31" s="172">
        <f t="shared" si="0"/>
        <v>2025</v>
      </c>
      <c r="N31" s="172">
        <f t="shared" si="0"/>
        <v>2026</v>
      </c>
      <c r="O31" s="172">
        <f t="shared" si="0"/>
        <v>2027</v>
      </c>
      <c r="P31" s="172">
        <f t="shared" si="0"/>
        <v>2028</v>
      </c>
      <c r="Q31" s="172">
        <f t="shared" si="0"/>
        <v>2029</v>
      </c>
      <c r="R31" s="172">
        <f t="shared" si="0"/>
        <v>2030</v>
      </c>
      <c r="S31" s="172">
        <f t="shared" si="0"/>
        <v>2031</v>
      </c>
      <c r="T31" s="172">
        <f t="shared" si="0"/>
        <v>2032</v>
      </c>
      <c r="U31" s="172">
        <f t="shared" si="0"/>
        <v>2033</v>
      </c>
      <c r="V31" s="172">
        <f t="shared" si="0"/>
        <v>2034</v>
      </c>
      <c r="W31" s="169">
        <f t="shared" si="0"/>
        <v>2035</v>
      </c>
    </row>
    <row r="32" spans="2:25" s="169" customFormat="1">
      <c r="B32" s="172" t="s">
        <v>53</v>
      </c>
      <c r="C32" s="172"/>
      <c r="D32" s="172"/>
      <c r="E32" s="371">
        <f>+F32</f>
        <v>4.2000000000000003E-2</v>
      </c>
      <c r="F32" s="371">
        <f>+G32</f>
        <v>4.2000000000000003E-2</v>
      </c>
      <c r="G32" s="371">
        <f>+Proyecciones!G7</f>
        <v>4.2000000000000003E-2</v>
      </c>
      <c r="H32" s="371">
        <f>+Proyecciones!H7</f>
        <v>4.2000000000000003E-2</v>
      </c>
      <c r="I32" s="371">
        <f>+Proyecciones!I7</f>
        <v>4.2000000000000003E-2</v>
      </c>
      <c r="J32" s="371">
        <f>+Proyecciones!J7</f>
        <v>4.2000000000000003E-2</v>
      </c>
      <c r="K32" s="371">
        <f>+Proyecciones!K7</f>
        <v>4.2000000000000003E-2</v>
      </c>
      <c r="L32" s="371">
        <f>+Proyecciones!L7</f>
        <v>4.2000000000000003E-2</v>
      </c>
      <c r="M32" s="371">
        <f>+Proyecciones!M7</f>
        <v>5.1999999999999998E-2</v>
      </c>
      <c r="N32" s="371">
        <f>+Proyecciones!N7</f>
        <v>5.1999999999999998E-2</v>
      </c>
      <c r="O32" s="371">
        <f>+Proyecciones!O7</f>
        <v>6.2E-2</v>
      </c>
      <c r="P32" s="371">
        <f>+Proyecciones!P7</f>
        <v>6.2E-2</v>
      </c>
      <c r="Q32" s="371">
        <f>+Proyecciones!Q7</f>
        <v>6.2E-2</v>
      </c>
      <c r="R32" s="371">
        <f>+Proyecciones!R7</f>
        <v>6.2E-2</v>
      </c>
      <c r="S32" s="371">
        <f>+Proyecciones!S7</f>
        <v>6.2E-2</v>
      </c>
      <c r="T32" s="371">
        <f>+Proyecciones!T7</f>
        <v>6.2E-2</v>
      </c>
      <c r="U32" s="371">
        <f>+Proyecciones!U7</f>
        <v>6.2E-2</v>
      </c>
      <c r="V32" s="371">
        <f>+Proyecciones!V7</f>
        <v>6.2E-2</v>
      </c>
      <c r="W32" s="216">
        <f>+Proyecciones!W7</f>
        <v>6.2E-2</v>
      </c>
      <c r="X32" s="216">
        <f>+Proyecciones!X7</f>
        <v>6.2E-2</v>
      </c>
      <c r="Y32" s="216">
        <f>+Proyecciones!Y7</f>
        <v>6.2E-2</v>
      </c>
    </row>
    <row r="33" spans="2:23" s="169" customFormat="1"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</row>
    <row r="34" spans="2:23" s="169" customFormat="1">
      <c r="B34" s="397" t="s">
        <v>651</v>
      </c>
      <c r="C34" s="398" t="s">
        <v>652</v>
      </c>
      <c r="D34" s="172" t="s">
        <v>655</v>
      </c>
      <c r="E34" s="374">
        <f>+'Flujo Caja'!C108</f>
        <v>965.17893800000002</v>
      </c>
      <c r="F34" s="374">
        <f>+E36</f>
        <v>965.17893800000002</v>
      </c>
      <c r="G34" s="374">
        <f t="shared" ref="G34:W34" si="1">+F36</f>
        <v>965.17893800000002</v>
      </c>
      <c r="H34" s="374">
        <f t="shared" si="1"/>
        <v>965.17893800000002</v>
      </c>
      <c r="I34" s="172">
        <f t="shared" si="1"/>
        <v>0</v>
      </c>
      <c r="J34" s="172">
        <f t="shared" si="1"/>
        <v>0</v>
      </c>
      <c r="K34" s="172">
        <f t="shared" si="1"/>
        <v>0</v>
      </c>
      <c r="L34" s="172">
        <f t="shared" si="1"/>
        <v>0</v>
      </c>
      <c r="M34" s="172">
        <f t="shared" si="1"/>
        <v>0</v>
      </c>
      <c r="N34" s="172">
        <f t="shared" si="1"/>
        <v>0</v>
      </c>
      <c r="O34" s="172">
        <f t="shared" si="1"/>
        <v>0</v>
      </c>
      <c r="P34" s="172">
        <f t="shared" si="1"/>
        <v>0</v>
      </c>
      <c r="Q34" s="172">
        <f t="shared" si="1"/>
        <v>0</v>
      </c>
      <c r="R34" s="172">
        <f t="shared" si="1"/>
        <v>0</v>
      </c>
      <c r="S34" s="172">
        <f t="shared" si="1"/>
        <v>0</v>
      </c>
      <c r="T34" s="172">
        <f t="shared" si="1"/>
        <v>0</v>
      </c>
      <c r="U34" s="172">
        <f t="shared" si="1"/>
        <v>0</v>
      </c>
      <c r="V34" s="172">
        <f t="shared" si="1"/>
        <v>0</v>
      </c>
      <c r="W34" s="169">
        <f t="shared" si="1"/>
        <v>0</v>
      </c>
    </row>
    <row r="35" spans="2:23" s="169" customFormat="1">
      <c r="B35" s="397"/>
      <c r="C35" s="398"/>
      <c r="D35" s="172" t="s">
        <v>653</v>
      </c>
      <c r="E35" s="172"/>
      <c r="F35" s="172"/>
      <c r="G35" s="172"/>
      <c r="H35" s="372">
        <f>-'Flujo Caja'!H84</f>
        <v>-965.17893800000002</v>
      </c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</row>
    <row r="36" spans="2:23" s="169" customFormat="1">
      <c r="B36" s="397"/>
      <c r="C36" s="398"/>
      <c r="D36" s="172" t="s">
        <v>654</v>
      </c>
      <c r="E36" s="372">
        <f t="shared" ref="E36:W36" si="2">+E34+E35</f>
        <v>965.17893800000002</v>
      </c>
      <c r="F36" s="372">
        <f t="shared" si="2"/>
        <v>965.17893800000002</v>
      </c>
      <c r="G36" s="372">
        <f t="shared" si="2"/>
        <v>965.17893800000002</v>
      </c>
      <c r="H36" s="372">
        <f t="shared" si="2"/>
        <v>0</v>
      </c>
      <c r="I36" s="372">
        <f t="shared" si="2"/>
        <v>0</v>
      </c>
      <c r="J36" s="372">
        <f t="shared" si="2"/>
        <v>0</v>
      </c>
      <c r="K36" s="372">
        <f t="shared" si="2"/>
        <v>0</v>
      </c>
      <c r="L36" s="372">
        <f t="shared" si="2"/>
        <v>0</v>
      </c>
      <c r="M36" s="372">
        <f t="shared" si="2"/>
        <v>0</v>
      </c>
      <c r="N36" s="372">
        <f t="shared" si="2"/>
        <v>0</v>
      </c>
      <c r="O36" s="372">
        <f t="shared" si="2"/>
        <v>0</v>
      </c>
      <c r="P36" s="372">
        <f t="shared" si="2"/>
        <v>0</v>
      </c>
      <c r="Q36" s="372">
        <f t="shared" si="2"/>
        <v>0</v>
      </c>
      <c r="R36" s="372">
        <f t="shared" si="2"/>
        <v>0</v>
      </c>
      <c r="S36" s="372">
        <f t="shared" si="2"/>
        <v>0</v>
      </c>
      <c r="T36" s="372">
        <f t="shared" si="2"/>
        <v>0</v>
      </c>
      <c r="U36" s="372">
        <f t="shared" si="2"/>
        <v>0</v>
      </c>
      <c r="V36" s="372">
        <f t="shared" si="2"/>
        <v>0</v>
      </c>
      <c r="W36" s="373">
        <f t="shared" si="2"/>
        <v>0</v>
      </c>
    </row>
    <row r="37" spans="2:23" s="169" customFormat="1">
      <c r="B37" s="397"/>
      <c r="C37" s="397" t="s">
        <v>656</v>
      </c>
      <c r="D37" s="172" t="s">
        <v>655</v>
      </c>
      <c r="E37" s="172"/>
      <c r="F37" s="372">
        <f>+E40</f>
        <v>6.7562525660000006</v>
      </c>
      <c r="G37" s="372">
        <f t="shared" ref="G37:W37" si="3">+F40</f>
        <v>47.293767962000004</v>
      </c>
      <c r="H37" s="372">
        <f t="shared" si="3"/>
        <v>87.831283358000007</v>
      </c>
      <c r="I37" s="372">
        <f t="shared" si="3"/>
        <v>0</v>
      </c>
      <c r="J37" s="372">
        <f t="shared" si="3"/>
        <v>0</v>
      </c>
      <c r="K37" s="372">
        <f t="shared" si="3"/>
        <v>0</v>
      </c>
      <c r="L37" s="372">
        <f t="shared" si="3"/>
        <v>0</v>
      </c>
      <c r="M37" s="372">
        <f t="shared" si="3"/>
        <v>0</v>
      </c>
      <c r="N37" s="372">
        <f t="shared" si="3"/>
        <v>0</v>
      </c>
      <c r="O37" s="372">
        <f t="shared" si="3"/>
        <v>0</v>
      </c>
      <c r="P37" s="372">
        <f t="shared" si="3"/>
        <v>0</v>
      </c>
      <c r="Q37" s="372">
        <f t="shared" si="3"/>
        <v>0</v>
      </c>
      <c r="R37" s="372">
        <f t="shared" si="3"/>
        <v>0</v>
      </c>
      <c r="S37" s="372">
        <f t="shared" si="3"/>
        <v>0</v>
      </c>
      <c r="T37" s="372">
        <f t="shared" si="3"/>
        <v>0</v>
      </c>
      <c r="U37" s="372">
        <f t="shared" si="3"/>
        <v>0</v>
      </c>
      <c r="V37" s="372">
        <f t="shared" si="3"/>
        <v>0</v>
      </c>
      <c r="W37" s="373">
        <f t="shared" si="3"/>
        <v>0</v>
      </c>
    </row>
    <row r="38" spans="2:23" s="169" customFormat="1">
      <c r="B38" s="397"/>
      <c r="C38" s="397"/>
      <c r="D38" s="172" t="s">
        <v>658</v>
      </c>
      <c r="E38" s="372">
        <f>+'Flujo Caja'!E109</f>
        <v>6.7562525660000006</v>
      </c>
      <c r="F38" s="372">
        <f>+F$32*F34</f>
        <v>40.537515396000003</v>
      </c>
      <c r="G38" s="372">
        <f>+G$32*G34</f>
        <v>40.537515396000003</v>
      </c>
      <c r="H38" s="372">
        <f>+H$32*H34</f>
        <v>40.537515396000003</v>
      </c>
      <c r="I38" s="372">
        <f t="shared" ref="I38:W38" si="4">+I$32*I36</f>
        <v>0</v>
      </c>
      <c r="J38" s="372">
        <f t="shared" si="4"/>
        <v>0</v>
      </c>
      <c r="K38" s="372">
        <f t="shared" si="4"/>
        <v>0</v>
      </c>
      <c r="L38" s="372">
        <f t="shared" si="4"/>
        <v>0</v>
      </c>
      <c r="M38" s="372">
        <f t="shared" si="4"/>
        <v>0</v>
      </c>
      <c r="N38" s="372">
        <f t="shared" si="4"/>
        <v>0</v>
      </c>
      <c r="O38" s="372">
        <f t="shared" si="4"/>
        <v>0</v>
      </c>
      <c r="P38" s="372">
        <f t="shared" si="4"/>
        <v>0</v>
      </c>
      <c r="Q38" s="372">
        <f t="shared" si="4"/>
        <v>0</v>
      </c>
      <c r="R38" s="372">
        <f t="shared" si="4"/>
        <v>0</v>
      </c>
      <c r="S38" s="372">
        <f t="shared" si="4"/>
        <v>0</v>
      </c>
      <c r="T38" s="372">
        <f t="shared" si="4"/>
        <v>0</v>
      </c>
      <c r="U38" s="372">
        <f t="shared" si="4"/>
        <v>0</v>
      </c>
      <c r="V38" s="372">
        <f t="shared" si="4"/>
        <v>0</v>
      </c>
      <c r="W38" s="373">
        <f t="shared" si="4"/>
        <v>0</v>
      </c>
    </row>
    <row r="39" spans="2:23" s="169" customFormat="1">
      <c r="B39" s="397"/>
      <c r="C39" s="397"/>
      <c r="D39" s="172" t="s">
        <v>653</v>
      </c>
      <c r="E39" s="172"/>
      <c r="F39" s="172"/>
      <c r="G39" s="172"/>
      <c r="H39" s="372">
        <f>-'Flujo Caja'!H85</f>
        <v>-128.36879875400001</v>
      </c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</row>
    <row r="40" spans="2:23" s="169" customFormat="1">
      <c r="B40" s="397"/>
      <c r="C40" s="397"/>
      <c r="D40" s="172" t="s">
        <v>654</v>
      </c>
      <c r="E40" s="372">
        <f>+E37+E38+E39</f>
        <v>6.7562525660000006</v>
      </c>
      <c r="F40" s="372">
        <f t="shared" ref="F40:W40" si="5">+F37+F38+F39</f>
        <v>47.293767962000004</v>
      </c>
      <c r="G40" s="372">
        <f t="shared" si="5"/>
        <v>87.831283358000007</v>
      </c>
      <c r="H40" s="372">
        <f t="shared" si="5"/>
        <v>0</v>
      </c>
      <c r="I40" s="372">
        <f t="shared" si="5"/>
        <v>0</v>
      </c>
      <c r="J40" s="372">
        <f t="shared" si="5"/>
        <v>0</v>
      </c>
      <c r="K40" s="372">
        <f t="shared" si="5"/>
        <v>0</v>
      </c>
      <c r="L40" s="372">
        <f t="shared" si="5"/>
        <v>0</v>
      </c>
      <c r="M40" s="372">
        <f t="shared" si="5"/>
        <v>0</v>
      </c>
      <c r="N40" s="372">
        <f t="shared" si="5"/>
        <v>0</v>
      </c>
      <c r="O40" s="372">
        <f t="shared" si="5"/>
        <v>0</v>
      </c>
      <c r="P40" s="372">
        <f t="shared" si="5"/>
        <v>0</v>
      </c>
      <c r="Q40" s="372">
        <f t="shared" si="5"/>
        <v>0</v>
      </c>
      <c r="R40" s="372">
        <f t="shared" si="5"/>
        <v>0</v>
      </c>
      <c r="S40" s="372">
        <f t="shared" si="5"/>
        <v>0</v>
      </c>
      <c r="T40" s="372">
        <f t="shared" si="5"/>
        <v>0</v>
      </c>
      <c r="U40" s="372">
        <f t="shared" si="5"/>
        <v>0</v>
      </c>
      <c r="V40" s="372">
        <f t="shared" si="5"/>
        <v>0</v>
      </c>
      <c r="W40" s="373">
        <f t="shared" si="5"/>
        <v>0</v>
      </c>
    </row>
    <row r="41" spans="2:23" s="169" customFormat="1">
      <c r="B41" s="397" t="s">
        <v>660</v>
      </c>
      <c r="C41" s="398" t="s">
        <v>652</v>
      </c>
      <c r="D41" s="172" t="s">
        <v>655</v>
      </c>
      <c r="E41" s="372">
        <f>+'Flujo Caja'!C110</f>
        <v>91840.640757318979</v>
      </c>
      <c r="F41" s="374">
        <f>+E43</f>
        <v>91840.640757318979</v>
      </c>
      <c r="G41" s="374">
        <f t="shared" ref="G41:W41" si="6">+F43</f>
        <v>91840.640757318979</v>
      </c>
      <c r="H41" s="374">
        <f t="shared" si="6"/>
        <v>91840.640757318979</v>
      </c>
      <c r="I41" s="374">
        <f t="shared" si="6"/>
        <v>68706.655570318981</v>
      </c>
      <c r="J41" s="374">
        <f t="shared" si="6"/>
        <v>43101.576595318984</v>
      </c>
      <c r="K41" s="374">
        <f t="shared" si="6"/>
        <v>43101.576595318984</v>
      </c>
      <c r="L41" s="374">
        <f t="shared" si="6"/>
        <v>39101.576595318984</v>
      </c>
      <c r="M41" s="374">
        <f t="shared" si="6"/>
        <v>37601.576595318984</v>
      </c>
      <c r="N41" s="374">
        <f t="shared" si="6"/>
        <v>27601.576595318984</v>
      </c>
      <c r="O41" s="374">
        <f t="shared" si="6"/>
        <v>13601.576595318984</v>
      </c>
      <c r="P41" s="374">
        <f t="shared" si="6"/>
        <v>2037.5765953189839</v>
      </c>
      <c r="Q41" s="374">
        <f t="shared" si="6"/>
        <v>0</v>
      </c>
      <c r="R41" s="374">
        <f t="shared" si="6"/>
        <v>0</v>
      </c>
      <c r="S41" s="374">
        <f t="shared" si="6"/>
        <v>0</v>
      </c>
      <c r="T41" s="374">
        <f t="shared" si="6"/>
        <v>0</v>
      </c>
      <c r="U41" s="374">
        <f t="shared" si="6"/>
        <v>0</v>
      </c>
      <c r="V41" s="374">
        <f t="shared" si="6"/>
        <v>0</v>
      </c>
      <c r="W41" s="64">
        <f t="shared" si="6"/>
        <v>0</v>
      </c>
    </row>
    <row r="42" spans="2:23" s="169" customFormat="1">
      <c r="B42" s="397"/>
      <c r="C42" s="398"/>
      <c r="D42" s="172" t="s">
        <v>653</v>
      </c>
      <c r="E42" s="172"/>
      <c r="F42" s="374"/>
      <c r="G42" s="374"/>
      <c r="H42" s="374">
        <f>-'Flujo Caja'!H86</f>
        <v>-23133.985186999998</v>
      </c>
      <c r="I42" s="374">
        <f>-'Flujo Caja'!I86</f>
        <v>-25605.078975</v>
      </c>
      <c r="J42" s="374">
        <f>-'Flujo Caja'!J86</f>
        <v>0</v>
      </c>
      <c r="K42" s="374">
        <f>-'Flujo Caja'!K86</f>
        <v>-4000</v>
      </c>
      <c r="L42" s="374">
        <f>-'Flujo Caja'!L86</f>
        <v>-1500</v>
      </c>
      <c r="M42" s="374">
        <f>-'Flujo Caja'!M86</f>
        <v>-10000</v>
      </c>
      <c r="N42" s="374">
        <f>-'Flujo Caja'!N86</f>
        <v>-14000</v>
      </c>
      <c r="O42" s="374">
        <f>-'Flujo Caja'!O86</f>
        <v>-11564</v>
      </c>
      <c r="P42" s="374">
        <f>-'Flujo Caja'!P86</f>
        <v>-2037.5765953189839</v>
      </c>
      <c r="Q42" s="374">
        <f>-'Flujo Caja'!Q86</f>
        <v>0</v>
      </c>
      <c r="R42" s="374">
        <f>-'Flujo Caja'!R86</f>
        <v>0</v>
      </c>
      <c r="S42" s="374">
        <f>-'Flujo Caja'!S86</f>
        <v>0</v>
      </c>
      <c r="T42" s="374">
        <f>-'Flujo Caja'!T86</f>
        <v>0</v>
      </c>
      <c r="U42" s="374">
        <f>-'Flujo Caja'!U86</f>
        <v>0</v>
      </c>
      <c r="V42" s="374">
        <f>-'Flujo Caja'!V86</f>
        <v>0</v>
      </c>
      <c r="W42" s="64"/>
    </row>
    <row r="43" spans="2:23" s="169" customFormat="1">
      <c r="B43" s="397"/>
      <c r="C43" s="398"/>
      <c r="D43" s="172" t="s">
        <v>654</v>
      </c>
      <c r="E43" s="372">
        <f t="shared" ref="E43:W43" si="7">+E41+E42</f>
        <v>91840.640757318979</v>
      </c>
      <c r="F43" s="374">
        <f t="shared" si="7"/>
        <v>91840.640757318979</v>
      </c>
      <c r="G43" s="374">
        <f t="shared" si="7"/>
        <v>91840.640757318979</v>
      </c>
      <c r="H43" s="374">
        <f t="shared" si="7"/>
        <v>68706.655570318981</v>
      </c>
      <c r="I43" s="374">
        <f t="shared" si="7"/>
        <v>43101.576595318984</v>
      </c>
      <c r="J43" s="374">
        <f t="shared" si="7"/>
        <v>43101.576595318984</v>
      </c>
      <c r="K43" s="374">
        <f t="shared" si="7"/>
        <v>39101.576595318984</v>
      </c>
      <c r="L43" s="374">
        <f t="shared" si="7"/>
        <v>37601.576595318984</v>
      </c>
      <c r="M43" s="374">
        <f t="shared" si="7"/>
        <v>27601.576595318984</v>
      </c>
      <c r="N43" s="374">
        <f t="shared" si="7"/>
        <v>13601.576595318984</v>
      </c>
      <c r="O43" s="374">
        <f t="shared" si="7"/>
        <v>2037.5765953189839</v>
      </c>
      <c r="P43" s="374">
        <f t="shared" si="7"/>
        <v>0</v>
      </c>
      <c r="Q43" s="374">
        <f t="shared" si="7"/>
        <v>0</v>
      </c>
      <c r="R43" s="374">
        <f t="shared" si="7"/>
        <v>0</v>
      </c>
      <c r="S43" s="374">
        <f t="shared" si="7"/>
        <v>0</v>
      </c>
      <c r="T43" s="374">
        <f t="shared" si="7"/>
        <v>0</v>
      </c>
      <c r="U43" s="374">
        <f t="shared" si="7"/>
        <v>0</v>
      </c>
      <c r="V43" s="374">
        <f t="shared" si="7"/>
        <v>0</v>
      </c>
      <c r="W43" s="64">
        <f t="shared" si="7"/>
        <v>0</v>
      </c>
    </row>
    <row r="44" spans="2:23" s="169" customFormat="1">
      <c r="B44" s="397"/>
      <c r="C44" s="397" t="s">
        <v>656</v>
      </c>
      <c r="D44" s="172" t="s">
        <v>655</v>
      </c>
      <c r="E44" s="172"/>
      <c r="F44" s="372">
        <f>+E47</f>
        <v>3857.3069118073972</v>
      </c>
      <c r="G44" s="372">
        <f t="shared" ref="G44:W44" si="8">+F47</f>
        <v>7714.6138236147945</v>
      </c>
      <c r="H44" s="372">
        <f t="shared" si="8"/>
        <v>11571.920735422191</v>
      </c>
      <c r="I44" s="372">
        <f t="shared" si="8"/>
        <v>15429.227647229589</v>
      </c>
      <c r="J44" s="372">
        <f t="shared" si="8"/>
        <v>18314.907181182985</v>
      </c>
      <c r="K44" s="372">
        <f t="shared" si="8"/>
        <v>20125.173398186384</v>
      </c>
      <c r="L44" s="372">
        <f t="shared" si="8"/>
        <v>21135.439615189782</v>
      </c>
      <c r="M44" s="372">
        <f t="shared" si="8"/>
        <v>22477.70583219318</v>
      </c>
      <c r="N44" s="372">
        <f t="shared" si="8"/>
        <v>22432.987815149769</v>
      </c>
      <c r="O44" s="372">
        <f t="shared" si="8"/>
        <v>21068.269798106357</v>
      </c>
      <c r="P44" s="372">
        <f t="shared" si="8"/>
        <v>19598.767547016134</v>
      </c>
      <c r="Q44" s="372">
        <f t="shared" si="8"/>
        <v>19317.581976862115</v>
      </c>
      <c r="R44" s="372">
        <f t="shared" si="8"/>
        <v>19317.581976862115</v>
      </c>
      <c r="S44" s="372">
        <f t="shared" si="8"/>
        <v>19317.581976862115</v>
      </c>
      <c r="T44" s="372">
        <f t="shared" si="8"/>
        <v>0</v>
      </c>
      <c r="U44" s="372">
        <f t="shared" si="8"/>
        <v>0</v>
      </c>
      <c r="V44" s="372">
        <f t="shared" si="8"/>
        <v>0</v>
      </c>
      <c r="W44" s="373">
        <f t="shared" si="8"/>
        <v>0</v>
      </c>
    </row>
    <row r="45" spans="2:23" s="169" customFormat="1">
      <c r="B45" s="397"/>
      <c r="C45" s="397"/>
      <c r="D45" s="172" t="s">
        <v>658</v>
      </c>
      <c r="E45" s="372">
        <f>+'Flujo Caja'!E111</f>
        <v>3857.3069118073972</v>
      </c>
      <c r="F45" s="372">
        <f>+F$32*F41</f>
        <v>3857.3069118073972</v>
      </c>
      <c r="G45" s="372">
        <f t="shared" ref="G45:V45" si="9">+G$32*G41</f>
        <v>3857.3069118073972</v>
      </c>
      <c r="H45" s="372">
        <f t="shared" si="9"/>
        <v>3857.3069118073972</v>
      </c>
      <c r="I45" s="372">
        <f t="shared" si="9"/>
        <v>2885.6795339533974</v>
      </c>
      <c r="J45" s="372">
        <f t="shared" si="9"/>
        <v>1810.2662170033975</v>
      </c>
      <c r="K45" s="372">
        <f t="shared" si="9"/>
        <v>1810.2662170033975</v>
      </c>
      <c r="L45" s="372">
        <f t="shared" si="9"/>
        <v>1642.2662170033975</v>
      </c>
      <c r="M45" s="372">
        <f t="shared" si="9"/>
        <v>1955.2819829565872</v>
      </c>
      <c r="N45" s="372">
        <f t="shared" si="9"/>
        <v>1435.2819829565872</v>
      </c>
      <c r="O45" s="372">
        <f t="shared" si="9"/>
        <v>843.29774890977694</v>
      </c>
      <c r="P45" s="372">
        <f t="shared" si="9"/>
        <v>126.329748909777</v>
      </c>
      <c r="Q45" s="372">
        <f t="shared" si="9"/>
        <v>0</v>
      </c>
      <c r="R45" s="372">
        <f t="shared" si="9"/>
        <v>0</v>
      </c>
      <c r="S45" s="372">
        <f t="shared" si="9"/>
        <v>0</v>
      </c>
      <c r="T45" s="372">
        <f t="shared" si="9"/>
        <v>0</v>
      </c>
      <c r="U45" s="372">
        <f t="shared" si="9"/>
        <v>0</v>
      </c>
      <c r="V45" s="372">
        <f t="shared" si="9"/>
        <v>0</v>
      </c>
      <c r="W45" s="373">
        <f>+W$32*W43</f>
        <v>0</v>
      </c>
    </row>
    <row r="46" spans="2:23" s="169" customFormat="1">
      <c r="B46" s="397"/>
      <c r="C46" s="397"/>
      <c r="D46" s="172" t="s">
        <v>653</v>
      </c>
      <c r="E46" s="172"/>
      <c r="F46" s="172"/>
      <c r="G46" s="172"/>
      <c r="H46" s="372">
        <f>-'Flujo Caja'!H87</f>
        <v>0</v>
      </c>
      <c r="I46" s="372">
        <f>-'Flujo Caja'!I87</f>
        <v>0</v>
      </c>
      <c r="J46" s="372">
        <f>-'Flujo Caja'!J87</f>
        <v>0</v>
      </c>
      <c r="K46" s="372">
        <f>-'Flujo Caja'!K87</f>
        <v>-800</v>
      </c>
      <c r="L46" s="372">
        <f>-'Flujo Caja'!L87</f>
        <v>-300</v>
      </c>
      <c r="M46" s="372">
        <f>-'Flujo Caja'!M87</f>
        <v>-2000</v>
      </c>
      <c r="N46" s="372">
        <f>-'Flujo Caja'!N87</f>
        <v>-2800</v>
      </c>
      <c r="O46" s="372">
        <f>-'Flujo Caja'!O87</f>
        <v>-2312.8000000000002</v>
      </c>
      <c r="P46" s="372">
        <f>-'Flujo Caja'!P87</f>
        <v>-407.51531906379682</v>
      </c>
      <c r="Q46" s="372">
        <f>-'Flujo Caja'!Q87</f>
        <v>0</v>
      </c>
      <c r="R46" s="372">
        <f>-'Flujo Caja'!R87</f>
        <v>0</v>
      </c>
      <c r="S46" s="372">
        <f>-'Flujo Caja'!S87</f>
        <v>-19317.581976862115</v>
      </c>
      <c r="T46" s="372">
        <f>-'Flujo Caja'!T87</f>
        <v>0</v>
      </c>
      <c r="U46" s="372">
        <f>-'Flujo Caja'!U87</f>
        <v>0</v>
      </c>
      <c r="V46" s="372">
        <f>-'Flujo Caja'!V87</f>
        <v>0</v>
      </c>
      <c r="W46" s="373">
        <f>-'Flujo Caja'!W87</f>
        <v>0</v>
      </c>
    </row>
    <row r="47" spans="2:23" s="169" customFormat="1">
      <c r="B47" s="397"/>
      <c r="C47" s="397"/>
      <c r="D47" s="172" t="s">
        <v>654</v>
      </c>
      <c r="E47" s="372">
        <f t="shared" ref="E47:W47" si="10">+E44+E45+E46</f>
        <v>3857.3069118073972</v>
      </c>
      <c r="F47" s="372">
        <f t="shared" si="10"/>
        <v>7714.6138236147945</v>
      </c>
      <c r="G47" s="372">
        <f t="shared" si="10"/>
        <v>11571.920735422191</v>
      </c>
      <c r="H47" s="372">
        <f t="shared" si="10"/>
        <v>15429.227647229589</v>
      </c>
      <c r="I47" s="372">
        <f t="shared" si="10"/>
        <v>18314.907181182985</v>
      </c>
      <c r="J47" s="372">
        <f t="shared" si="10"/>
        <v>20125.173398186384</v>
      </c>
      <c r="K47" s="372">
        <f t="shared" si="10"/>
        <v>21135.439615189782</v>
      </c>
      <c r="L47" s="372">
        <f t="shared" si="10"/>
        <v>22477.70583219318</v>
      </c>
      <c r="M47" s="372">
        <f t="shared" si="10"/>
        <v>22432.987815149769</v>
      </c>
      <c r="N47" s="372">
        <f t="shared" si="10"/>
        <v>21068.269798106357</v>
      </c>
      <c r="O47" s="372">
        <f t="shared" si="10"/>
        <v>19598.767547016134</v>
      </c>
      <c r="P47" s="372">
        <f t="shared" si="10"/>
        <v>19317.581976862115</v>
      </c>
      <c r="Q47" s="372">
        <f t="shared" si="10"/>
        <v>19317.581976862115</v>
      </c>
      <c r="R47" s="372">
        <f t="shared" si="10"/>
        <v>19317.581976862115</v>
      </c>
      <c r="S47" s="372">
        <f t="shared" si="10"/>
        <v>0</v>
      </c>
      <c r="T47" s="372">
        <f t="shared" si="10"/>
        <v>0</v>
      </c>
      <c r="U47" s="372">
        <f t="shared" si="10"/>
        <v>0</v>
      </c>
      <c r="V47" s="372">
        <f t="shared" si="10"/>
        <v>0</v>
      </c>
      <c r="W47" s="373">
        <f t="shared" si="10"/>
        <v>0</v>
      </c>
    </row>
    <row r="48" spans="2:23" s="169" customFormat="1">
      <c r="B48" s="397" t="s">
        <v>657</v>
      </c>
      <c r="C48" s="398" t="s">
        <v>652</v>
      </c>
      <c r="D48" s="172" t="s">
        <v>655</v>
      </c>
      <c r="E48" s="372">
        <f>+'Flujo Caja'!C112</f>
        <v>20620.294330000001</v>
      </c>
      <c r="F48" s="374">
        <f t="shared" ref="F48:W48" si="11">+E50</f>
        <v>20620.294330000001</v>
      </c>
      <c r="G48" s="374">
        <f t="shared" si="11"/>
        <v>20620.294330000001</v>
      </c>
      <c r="H48" s="374">
        <f t="shared" si="11"/>
        <v>20620.294330000001</v>
      </c>
      <c r="I48" s="374">
        <f t="shared" si="11"/>
        <v>20620.294330000001</v>
      </c>
      <c r="J48" s="374">
        <f t="shared" si="11"/>
        <v>20620.294330000001</v>
      </c>
      <c r="K48" s="374">
        <f t="shared" si="11"/>
        <v>20620.294330000001</v>
      </c>
      <c r="L48" s="374">
        <f t="shared" si="11"/>
        <v>20620.294330000001</v>
      </c>
      <c r="M48" s="374">
        <f t="shared" si="11"/>
        <v>20620.294330000001</v>
      </c>
      <c r="N48" s="374">
        <f t="shared" si="11"/>
        <v>20620.294330000001</v>
      </c>
      <c r="O48" s="374">
        <f t="shared" si="11"/>
        <v>20620.294330000001</v>
      </c>
      <c r="P48" s="374">
        <f t="shared" si="11"/>
        <v>20620.294330000001</v>
      </c>
      <c r="Q48" s="374">
        <f t="shared" si="11"/>
        <v>15157.870925318985</v>
      </c>
      <c r="R48" s="374">
        <f t="shared" si="11"/>
        <v>723.87092531898452</v>
      </c>
      <c r="S48" s="374">
        <f t="shared" si="11"/>
        <v>0</v>
      </c>
      <c r="T48" s="374">
        <f t="shared" si="11"/>
        <v>0</v>
      </c>
      <c r="U48" s="374">
        <f t="shared" si="11"/>
        <v>0</v>
      </c>
      <c r="V48" s="374">
        <f t="shared" si="11"/>
        <v>0</v>
      </c>
      <c r="W48" s="64">
        <f t="shared" si="11"/>
        <v>0</v>
      </c>
    </row>
    <row r="49" spans="2:23" s="169" customFormat="1">
      <c r="B49" s="397"/>
      <c r="C49" s="398"/>
      <c r="D49" s="172" t="s">
        <v>653</v>
      </c>
      <c r="E49" s="172"/>
      <c r="F49" s="374"/>
      <c r="G49" s="374"/>
      <c r="H49" s="374">
        <f>-'Flujo Caja'!H88</f>
        <v>0</v>
      </c>
      <c r="I49" s="374">
        <f>-'Flujo Caja'!I88</f>
        <v>0</v>
      </c>
      <c r="J49" s="374">
        <f>-'Flujo Caja'!J88</f>
        <v>0</v>
      </c>
      <c r="K49" s="374">
        <v>0</v>
      </c>
      <c r="L49" s="374">
        <f>-'Flujo Caja'!L88</f>
        <v>0</v>
      </c>
      <c r="M49" s="374">
        <f>-'Flujo Caja'!M88</f>
        <v>0</v>
      </c>
      <c r="N49" s="374">
        <f>-'Flujo Caja'!N88</f>
        <v>0</v>
      </c>
      <c r="O49" s="374">
        <f>-'Flujo Caja'!O88</f>
        <v>0</v>
      </c>
      <c r="P49" s="374">
        <f>-'Flujo Caja'!P88</f>
        <v>-5462.4234046810161</v>
      </c>
      <c r="Q49" s="374">
        <f>-'Flujo Caja'!Q88</f>
        <v>-14434</v>
      </c>
      <c r="R49" s="374">
        <f>-'Flujo Caja'!R88</f>
        <v>-723.87092531898452</v>
      </c>
      <c r="S49" s="374">
        <f>-'Flujo Caja'!S88</f>
        <v>0</v>
      </c>
      <c r="T49" s="374">
        <f>-'Flujo Caja'!T88</f>
        <v>0</v>
      </c>
      <c r="U49" s="374">
        <f>-'Flujo Caja'!U88</f>
        <v>0</v>
      </c>
      <c r="V49" s="374">
        <f>-'Flujo Caja'!V88</f>
        <v>0</v>
      </c>
      <c r="W49" s="64">
        <f>-'Flujo Caja'!W88</f>
        <v>0</v>
      </c>
    </row>
    <row r="50" spans="2:23" s="169" customFormat="1">
      <c r="B50" s="397"/>
      <c r="C50" s="398"/>
      <c r="D50" s="172" t="s">
        <v>654</v>
      </c>
      <c r="E50" s="372">
        <f t="shared" ref="E50:W50" si="12">+E48+E49</f>
        <v>20620.294330000001</v>
      </c>
      <c r="F50" s="374">
        <f t="shared" si="12"/>
        <v>20620.294330000001</v>
      </c>
      <c r="G50" s="374">
        <f t="shared" si="12"/>
        <v>20620.294330000001</v>
      </c>
      <c r="H50" s="374">
        <f t="shared" si="12"/>
        <v>20620.294330000001</v>
      </c>
      <c r="I50" s="374">
        <f t="shared" si="12"/>
        <v>20620.294330000001</v>
      </c>
      <c r="J50" s="374">
        <f t="shared" si="12"/>
        <v>20620.294330000001</v>
      </c>
      <c r="K50" s="374">
        <f t="shared" si="12"/>
        <v>20620.294330000001</v>
      </c>
      <c r="L50" s="374">
        <f t="shared" si="12"/>
        <v>20620.294330000001</v>
      </c>
      <c r="M50" s="374">
        <f t="shared" si="12"/>
        <v>20620.294330000001</v>
      </c>
      <c r="N50" s="374">
        <f t="shared" si="12"/>
        <v>20620.294330000001</v>
      </c>
      <c r="O50" s="374">
        <f t="shared" si="12"/>
        <v>20620.294330000001</v>
      </c>
      <c r="P50" s="374">
        <f t="shared" si="12"/>
        <v>15157.870925318985</v>
      </c>
      <c r="Q50" s="374">
        <f t="shared" si="12"/>
        <v>723.87092531898452</v>
      </c>
      <c r="R50" s="374">
        <f t="shared" si="12"/>
        <v>0</v>
      </c>
      <c r="S50" s="374">
        <f t="shared" si="12"/>
        <v>0</v>
      </c>
      <c r="T50" s="374">
        <f t="shared" si="12"/>
        <v>0</v>
      </c>
      <c r="U50" s="374">
        <f t="shared" si="12"/>
        <v>0</v>
      </c>
      <c r="V50" s="374">
        <f t="shared" si="12"/>
        <v>0</v>
      </c>
      <c r="W50" s="64">
        <f t="shared" si="12"/>
        <v>0</v>
      </c>
    </row>
    <row r="51" spans="2:23" s="169" customFormat="1">
      <c r="B51" s="397"/>
      <c r="C51" s="397" t="s">
        <v>656</v>
      </c>
      <c r="D51" s="172" t="s">
        <v>655</v>
      </c>
      <c r="E51" s="172"/>
      <c r="F51" s="372">
        <f>+E54</f>
        <v>144.34206031000002</v>
      </c>
      <c r="G51" s="372">
        <f t="shared" ref="G51:W51" si="13">+F54</f>
        <v>1010.3944221700001</v>
      </c>
      <c r="H51" s="372">
        <f t="shared" si="13"/>
        <v>1876.4467840300003</v>
      </c>
      <c r="I51" s="372">
        <f t="shared" si="13"/>
        <v>2742.4991458900004</v>
      </c>
      <c r="J51" s="372">
        <f t="shared" si="13"/>
        <v>3608.5515077500004</v>
      </c>
      <c r="K51" s="372">
        <f t="shared" si="13"/>
        <v>4474.6038696100004</v>
      </c>
      <c r="L51" s="372">
        <f t="shared" si="13"/>
        <v>5340.6562314700004</v>
      </c>
      <c r="M51" s="372">
        <f t="shared" si="13"/>
        <v>6206.7085933300004</v>
      </c>
      <c r="N51" s="372">
        <f t="shared" si="13"/>
        <v>7278.9638984900002</v>
      </c>
      <c r="O51" s="372">
        <f t="shared" si="13"/>
        <v>8351.2192036500001</v>
      </c>
      <c r="P51" s="372">
        <f t="shared" si="13"/>
        <v>9629.6774521099996</v>
      </c>
      <c r="Q51" s="372">
        <f t="shared" si="13"/>
        <v>9815.6510196337967</v>
      </c>
      <c r="R51" s="372">
        <f t="shared" si="13"/>
        <v>7868.6390170035729</v>
      </c>
      <c r="S51" s="372">
        <f t="shared" si="13"/>
        <v>7768.7448293095531</v>
      </c>
      <c r="T51" s="372">
        <f t="shared" si="13"/>
        <v>0</v>
      </c>
      <c r="U51" s="372">
        <f t="shared" si="13"/>
        <v>0</v>
      </c>
      <c r="V51" s="372">
        <f t="shared" si="13"/>
        <v>0</v>
      </c>
      <c r="W51" s="373">
        <f t="shared" si="13"/>
        <v>0</v>
      </c>
    </row>
    <row r="52" spans="2:23" s="169" customFormat="1">
      <c r="B52" s="397"/>
      <c r="C52" s="397"/>
      <c r="D52" s="172" t="s">
        <v>658</v>
      </c>
      <c r="E52" s="372">
        <f>+'Flujo Caja'!E113</f>
        <v>144.34206031000002</v>
      </c>
      <c r="F52" s="372">
        <f>+F$32*F48</f>
        <v>866.05236186000013</v>
      </c>
      <c r="G52" s="372">
        <f t="shared" ref="G52:V52" si="14">+G$32*G48</f>
        <v>866.05236186000013</v>
      </c>
      <c r="H52" s="372">
        <f t="shared" si="14"/>
        <v>866.05236186000013</v>
      </c>
      <c r="I52" s="372">
        <f t="shared" si="14"/>
        <v>866.05236186000013</v>
      </c>
      <c r="J52" s="372">
        <f t="shared" si="14"/>
        <v>866.05236186000013</v>
      </c>
      <c r="K52" s="372">
        <f t="shared" si="14"/>
        <v>866.05236186000013</v>
      </c>
      <c r="L52" s="372">
        <f t="shared" si="14"/>
        <v>866.05236186000013</v>
      </c>
      <c r="M52" s="372">
        <f t="shared" si="14"/>
        <v>1072.25530516</v>
      </c>
      <c r="N52" s="372">
        <f t="shared" si="14"/>
        <v>1072.25530516</v>
      </c>
      <c r="O52" s="372">
        <f t="shared" si="14"/>
        <v>1278.45824846</v>
      </c>
      <c r="P52" s="372">
        <f t="shared" si="14"/>
        <v>1278.45824846</v>
      </c>
      <c r="Q52" s="372">
        <f t="shared" si="14"/>
        <v>939.78799736977703</v>
      </c>
      <c r="R52" s="372">
        <f t="shared" si="14"/>
        <v>44.879997369777037</v>
      </c>
      <c r="S52" s="372">
        <f t="shared" si="14"/>
        <v>0</v>
      </c>
      <c r="T52" s="372">
        <f t="shared" si="14"/>
        <v>0</v>
      </c>
      <c r="U52" s="372">
        <f t="shared" si="14"/>
        <v>0</v>
      </c>
      <c r="V52" s="372">
        <f t="shared" si="14"/>
        <v>0</v>
      </c>
      <c r="W52" s="373">
        <f>+W$32*W50</f>
        <v>0</v>
      </c>
    </row>
    <row r="53" spans="2:23" s="169" customFormat="1">
      <c r="B53" s="397"/>
      <c r="C53" s="397"/>
      <c r="D53" s="172" t="s">
        <v>653</v>
      </c>
      <c r="E53" s="172"/>
      <c r="F53" s="172"/>
      <c r="G53" s="172"/>
      <c r="H53" s="372">
        <f>-'Flujo Caja'!H89</f>
        <v>0</v>
      </c>
      <c r="I53" s="372">
        <f>-'Flujo Caja'!I89</f>
        <v>0</v>
      </c>
      <c r="J53" s="372">
        <f>-'Flujo Caja'!J89</f>
        <v>0</v>
      </c>
      <c r="K53" s="372">
        <f>-'Flujo Caja'!K89</f>
        <v>0</v>
      </c>
      <c r="L53" s="372">
        <f>-'Flujo Caja'!L89</f>
        <v>0</v>
      </c>
      <c r="M53" s="372">
        <f>-'Flujo Caja'!M89</f>
        <v>0</v>
      </c>
      <c r="N53" s="372">
        <f>-'Flujo Caja'!N89</f>
        <v>0</v>
      </c>
      <c r="O53" s="372">
        <f>-'Flujo Caja'!O89</f>
        <v>0</v>
      </c>
      <c r="P53" s="372">
        <f>-'Flujo Caja'!P89</f>
        <v>-1092.4846809362032</v>
      </c>
      <c r="Q53" s="372">
        <f>-'Flujo Caja'!Q89</f>
        <v>-2886.8</v>
      </c>
      <c r="R53" s="372">
        <f>-'Flujo Caja'!R89</f>
        <v>-144.77418506379692</v>
      </c>
      <c r="S53" s="372">
        <f>-'Flujo Caja'!S89</f>
        <v>-7768.7448293095531</v>
      </c>
      <c r="T53" s="372">
        <f>-'Flujo Caja'!T89</f>
        <v>0</v>
      </c>
      <c r="U53" s="372">
        <f>-'Flujo Caja'!U89</f>
        <v>0</v>
      </c>
      <c r="V53" s="372">
        <f>-'Flujo Caja'!V89</f>
        <v>0</v>
      </c>
      <c r="W53" s="373">
        <f>-'Flujo Caja'!W89</f>
        <v>0</v>
      </c>
    </row>
    <row r="54" spans="2:23" s="169" customFormat="1">
      <c r="B54" s="397"/>
      <c r="C54" s="397"/>
      <c r="D54" s="172" t="s">
        <v>654</v>
      </c>
      <c r="E54" s="372">
        <f t="shared" ref="E54:W54" si="15">+E51+E52+E53</f>
        <v>144.34206031000002</v>
      </c>
      <c r="F54" s="372">
        <f t="shared" si="15"/>
        <v>1010.3944221700001</v>
      </c>
      <c r="G54" s="372">
        <f t="shared" si="15"/>
        <v>1876.4467840300003</v>
      </c>
      <c r="H54" s="372">
        <f t="shared" si="15"/>
        <v>2742.4991458900004</v>
      </c>
      <c r="I54" s="372">
        <f t="shared" si="15"/>
        <v>3608.5515077500004</v>
      </c>
      <c r="J54" s="372">
        <f t="shared" si="15"/>
        <v>4474.6038696100004</v>
      </c>
      <c r="K54" s="372">
        <f t="shared" si="15"/>
        <v>5340.6562314700004</v>
      </c>
      <c r="L54" s="372">
        <f t="shared" si="15"/>
        <v>6206.7085933300004</v>
      </c>
      <c r="M54" s="372">
        <f t="shared" si="15"/>
        <v>7278.9638984900002</v>
      </c>
      <c r="N54" s="372">
        <f t="shared" si="15"/>
        <v>8351.2192036500001</v>
      </c>
      <c r="O54" s="372">
        <f t="shared" si="15"/>
        <v>9629.6774521099996</v>
      </c>
      <c r="P54" s="372">
        <f t="shared" si="15"/>
        <v>9815.6510196337967</v>
      </c>
      <c r="Q54" s="372">
        <f t="shared" si="15"/>
        <v>7868.6390170035729</v>
      </c>
      <c r="R54" s="372">
        <f t="shared" si="15"/>
        <v>7768.7448293095531</v>
      </c>
      <c r="S54" s="372">
        <f t="shared" si="15"/>
        <v>0</v>
      </c>
      <c r="T54" s="372">
        <f t="shared" si="15"/>
        <v>0</v>
      </c>
      <c r="U54" s="372">
        <f t="shared" si="15"/>
        <v>0</v>
      </c>
      <c r="V54" s="372">
        <f t="shared" si="15"/>
        <v>0</v>
      </c>
      <c r="W54" s="373">
        <f t="shared" si="15"/>
        <v>0</v>
      </c>
    </row>
    <row r="55" spans="2:23" s="169" customFormat="1">
      <c r="B55" s="397" t="s">
        <v>427</v>
      </c>
      <c r="C55" s="398" t="s">
        <v>652</v>
      </c>
      <c r="D55" s="172" t="s">
        <v>655</v>
      </c>
      <c r="E55" s="372">
        <f>+'Flujo Caja'!C114</f>
        <v>33158.202229681017</v>
      </c>
      <c r="F55" s="374">
        <f>+E57</f>
        <v>33158.202229681017</v>
      </c>
      <c r="G55" s="374">
        <f t="shared" ref="G55:W55" si="16">+F57</f>
        <v>33158.202229681017</v>
      </c>
      <c r="H55" s="374">
        <f t="shared" si="16"/>
        <v>33158.202229681017</v>
      </c>
      <c r="I55" s="374">
        <f t="shared" si="16"/>
        <v>33158.202229681017</v>
      </c>
      <c r="J55" s="374">
        <f t="shared" si="16"/>
        <v>33158.202229681017</v>
      </c>
      <c r="K55" s="374">
        <f t="shared" si="16"/>
        <v>33158.202229681017</v>
      </c>
      <c r="L55" s="374">
        <f t="shared" si="16"/>
        <v>33158.202229681017</v>
      </c>
      <c r="M55" s="374">
        <f t="shared" si="16"/>
        <v>33158.202229681017</v>
      </c>
      <c r="N55" s="374">
        <f t="shared" si="16"/>
        <v>33158.202229681017</v>
      </c>
      <c r="O55" s="374">
        <f t="shared" si="16"/>
        <v>33158.202229681017</v>
      </c>
      <c r="P55" s="374">
        <f t="shared" si="16"/>
        <v>33158.202229681017</v>
      </c>
      <c r="Q55" s="374">
        <f t="shared" si="16"/>
        <v>33158.202229681017</v>
      </c>
      <c r="R55" s="374">
        <f t="shared" si="16"/>
        <v>33158.202229681017</v>
      </c>
      <c r="S55" s="374">
        <f t="shared" si="16"/>
        <v>13882.073155000002</v>
      </c>
      <c r="T55" s="374">
        <f t="shared" si="16"/>
        <v>0</v>
      </c>
      <c r="U55" s="374">
        <f t="shared" si="16"/>
        <v>0</v>
      </c>
      <c r="V55" s="374">
        <f t="shared" si="16"/>
        <v>0</v>
      </c>
      <c r="W55" s="64">
        <f t="shared" si="16"/>
        <v>0</v>
      </c>
    </row>
    <row r="56" spans="2:23" s="169" customFormat="1">
      <c r="B56" s="397"/>
      <c r="C56" s="398"/>
      <c r="D56" s="172" t="s">
        <v>653</v>
      </c>
      <c r="E56" s="172"/>
      <c r="F56" s="374"/>
      <c r="G56" s="374"/>
      <c r="H56" s="374">
        <f>-'Flujo Caja'!H90</f>
        <v>0</v>
      </c>
      <c r="I56" s="374">
        <f>-'Flujo Caja'!I90</f>
        <v>0</v>
      </c>
      <c r="J56" s="374">
        <f>-'Flujo Caja'!J90</f>
        <v>0</v>
      </c>
      <c r="K56" s="374">
        <f>-'Flujo Caja'!K90</f>
        <v>0</v>
      </c>
      <c r="L56" s="374">
        <f>-'Flujo Caja'!L90</f>
        <v>0</v>
      </c>
      <c r="M56" s="374">
        <f>-'Flujo Caja'!M90</f>
        <v>0</v>
      </c>
      <c r="N56" s="374">
        <f>-'Flujo Caja'!N90</f>
        <v>0</v>
      </c>
      <c r="O56" s="374">
        <f>-'Flujo Caja'!O90</f>
        <v>0</v>
      </c>
      <c r="P56" s="374">
        <f>-'Flujo Caja'!P90</f>
        <v>0</v>
      </c>
      <c r="Q56" s="374">
        <f>-'Flujo Caja'!Q90</f>
        <v>0</v>
      </c>
      <c r="R56" s="374">
        <f>-'Flujo Caja'!R90</f>
        <v>-19276.129074681015</v>
      </c>
      <c r="S56" s="374">
        <f>-'Flujo Caja'!S90</f>
        <v>-13882.073155000002</v>
      </c>
      <c r="T56" s="374">
        <f>-'Flujo Caja'!T90</f>
        <v>0</v>
      </c>
      <c r="U56" s="374">
        <f>-'Flujo Caja'!U90</f>
        <v>0</v>
      </c>
      <c r="V56" s="374">
        <f>-'Flujo Caja'!V90</f>
        <v>0</v>
      </c>
      <c r="W56" s="64">
        <f>-'Flujo Caja'!W90</f>
        <v>0</v>
      </c>
    </row>
    <row r="57" spans="2:23" s="169" customFormat="1">
      <c r="B57" s="397"/>
      <c r="C57" s="398"/>
      <c r="D57" s="172" t="s">
        <v>654</v>
      </c>
      <c r="E57" s="372">
        <f>+E55</f>
        <v>33158.202229681017</v>
      </c>
      <c r="F57" s="374">
        <f t="shared" ref="F57:W57" si="17">+F55+F56</f>
        <v>33158.202229681017</v>
      </c>
      <c r="G57" s="374">
        <f t="shared" si="17"/>
        <v>33158.202229681017</v>
      </c>
      <c r="H57" s="374">
        <f t="shared" si="17"/>
        <v>33158.202229681017</v>
      </c>
      <c r="I57" s="374">
        <f t="shared" si="17"/>
        <v>33158.202229681017</v>
      </c>
      <c r="J57" s="374">
        <f t="shared" si="17"/>
        <v>33158.202229681017</v>
      </c>
      <c r="K57" s="374">
        <f t="shared" si="17"/>
        <v>33158.202229681017</v>
      </c>
      <c r="L57" s="374">
        <f t="shared" si="17"/>
        <v>33158.202229681017</v>
      </c>
      <c r="M57" s="374">
        <f t="shared" si="17"/>
        <v>33158.202229681017</v>
      </c>
      <c r="N57" s="374">
        <f t="shared" si="17"/>
        <v>33158.202229681017</v>
      </c>
      <c r="O57" s="374">
        <f t="shared" si="17"/>
        <v>33158.202229681017</v>
      </c>
      <c r="P57" s="374">
        <f t="shared" si="17"/>
        <v>33158.202229681017</v>
      </c>
      <c r="Q57" s="374">
        <f t="shared" si="17"/>
        <v>33158.202229681017</v>
      </c>
      <c r="R57" s="374">
        <f t="shared" si="17"/>
        <v>13882.073155000002</v>
      </c>
      <c r="S57" s="374">
        <f t="shared" si="17"/>
        <v>0</v>
      </c>
      <c r="T57" s="374">
        <f t="shared" si="17"/>
        <v>0</v>
      </c>
      <c r="U57" s="374">
        <f t="shared" si="17"/>
        <v>0</v>
      </c>
      <c r="V57" s="374">
        <f t="shared" si="17"/>
        <v>0</v>
      </c>
      <c r="W57" s="64">
        <f t="shared" si="17"/>
        <v>0</v>
      </c>
    </row>
    <row r="58" spans="2:23" s="169" customFormat="1">
      <c r="B58" s="397"/>
      <c r="C58" s="397" t="s">
        <v>656</v>
      </c>
      <c r="D58" s="172" t="s">
        <v>655</v>
      </c>
      <c r="E58" s="172"/>
      <c r="F58" s="372">
        <f>+E61</f>
        <v>1392.6444936466028</v>
      </c>
      <c r="G58" s="372">
        <f t="shared" ref="G58:W58" si="18">+F61</f>
        <v>2785.2889872932055</v>
      </c>
      <c r="H58" s="372">
        <f t="shared" si="18"/>
        <v>4177.9334809398079</v>
      </c>
      <c r="I58" s="372">
        <f t="shared" si="18"/>
        <v>5570.5779745864111</v>
      </c>
      <c r="J58" s="372">
        <f t="shared" si="18"/>
        <v>6963.2224682330143</v>
      </c>
      <c r="K58" s="372">
        <f t="shared" si="18"/>
        <v>8355.8669618796175</v>
      </c>
      <c r="L58" s="372">
        <f t="shared" si="18"/>
        <v>9748.5114555262207</v>
      </c>
      <c r="M58" s="372">
        <f t="shared" si="18"/>
        <v>11141.155949172824</v>
      </c>
      <c r="N58" s="372">
        <f t="shared" si="18"/>
        <v>12865.382465116236</v>
      </c>
      <c r="O58" s="372">
        <f t="shared" si="18"/>
        <v>14589.60898105965</v>
      </c>
      <c r="P58" s="372">
        <f t="shared" si="18"/>
        <v>16645.417519299874</v>
      </c>
      <c r="Q58" s="372">
        <f t="shared" si="18"/>
        <v>18701.226057540098</v>
      </c>
      <c r="R58" s="372">
        <f t="shared" si="18"/>
        <v>20757.034595780322</v>
      </c>
      <c r="S58" s="372">
        <f t="shared" si="18"/>
        <v>18957.617319084344</v>
      </c>
      <c r="T58" s="372">
        <f t="shared" si="18"/>
        <v>0</v>
      </c>
      <c r="U58" s="372">
        <f t="shared" si="18"/>
        <v>0</v>
      </c>
      <c r="V58" s="372">
        <f t="shared" si="18"/>
        <v>0</v>
      </c>
      <c r="W58" s="373">
        <f t="shared" si="18"/>
        <v>0</v>
      </c>
    </row>
    <row r="59" spans="2:23" s="169" customFormat="1">
      <c r="B59" s="397"/>
      <c r="C59" s="397"/>
      <c r="D59" s="172" t="s">
        <v>658</v>
      </c>
      <c r="E59" s="372">
        <f>+'Flujo Caja'!E115</f>
        <v>1392.6444936466028</v>
      </c>
      <c r="F59" s="372">
        <f>+F$32*F55</f>
        <v>1392.6444936466028</v>
      </c>
      <c r="G59" s="372">
        <f t="shared" ref="G59:V59" si="19">+G$32*G55</f>
        <v>1392.6444936466028</v>
      </c>
      <c r="H59" s="372">
        <f t="shared" si="19"/>
        <v>1392.6444936466028</v>
      </c>
      <c r="I59" s="372">
        <f t="shared" si="19"/>
        <v>1392.6444936466028</v>
      </c>
      <c r="J59" s="372">
        <f t="shared" si="19"/>
        <v>1392.6444936466028</v>
      </c>
      <c r="K59" s="372">
        <f t="shared" si="19"/>
        <v>1392.6444936466028</v>
      </c>
      <c r="L59" s="372">
        <f t="shared" si="19"/>
        <v>1392.6444936466028</v>
      </c>
      <c r="M59" s="372">
        <f t="shared" si="19"/>
        <v>1724.2265159434128</v>
      </c>
      <c r="N59" s="372">
        <f t="shared" si="19"/>
        <v>1724.2265159434128</v>
      </c>
      <c r="O59" s="372">
        <f t="shared" si="19"/>
        <v>2055.8085382402232</v>
      </c>
      <c r="P59" s="372">
        <f t="shared" si="19"/>
        <v>2055.8085382402232</v>
      </c>
      <c r="Q59" s="372">
        <f t="shared" si="19"/>
        <v>2055.8085382402232</v>
      </c>
      <c r="R59" s="372">
        <f t="shared" si="19"/>
        <v>2055.8085382402232</v>
      </c>
      <c r="S59" s="372">
        <f t="shared" si="19"/>
        <v>860.68853561000014</v>
      </c>
      <c r="T59" s="372">
        <f t="shared" si="19"/>
        <v>0</v>
      </c>
      <c r="U59" s="372">
        <f t="shared" si="19"/>
        <v>0</v>
      </c>
      <c r="V59" s="372">
        <f t="shared" si="19"/>
        <v>0</v>
      </c>
      <c r="W59" s="373">
        <f>+W$32*W57</f>
        <v>0</v>
      </c>
    </row>
    <row r="60" spans="2:23" s="169" customFormat="1">
      <c r="B60" s="397"/>
      <c r="C60" s="397"/>
      <c r="D60" s="172" t="s">
        <v>653</v>
      </c>
      <c r="E60" s="172"/>
      <c r="F60" s="172"/>
      <c r="G60" s="172"/>
      <c r="H60" s="375">
        <f>-'Flujo Caja'!H91</f>
        <v>0</v>
      </c>
      <c r="I60" s="375">
        <f>-'Flujo Caja'!I91</f>
        <v>0</v>
      </c>
      <c r="J60" s="375">
        <f>-'Flujo Caja'!J91</f>
        <v>0</v>
      </c>
      <c r="K60" s="375">
        <f>-'Flujo Caja'!K91</f>
        <v>0</v>
      </c>
      <c r="L60" s="375">
        <f>-'Flujo Caja'!L91</f>
        <v>0</v>
      </c>
      <c r="M60" s="375">
        <f>-'Flujo Caja'!M91</f>
        <v>0</v>
      </c>
      <c r="N60" s="375">
        <f>-'Flujo Caja'!N91</f>
        <v>0</v>
      </c>
      <c r="O60" s="375">
        <f>-'Flujo Caja'!O91</f>
        <v>0</v>
      </c>
      <c r="P60" s="375">
        <f>-'Flujo Caja'!P91</f>
        <v>0</v>
      </c>
      <c r="Q60" s="375">
        <f>-'Flujo Caja'!Q91</f>
        <v>0</v>
      </c>
      <c r="R60" s="375">
        <f>-'Flujo Caja'!R91</f>
        <v>-3855.2258149362033</v>
      </c>
      <c r="S60" s="375">
        <f>-'Flujo Caja'!S91</f>
        <v>-19818.305854694343</v>
      </c>
      <c r="T60" s="375">
        <f>-'Flujo Caja'!T91</f>
        <v>0</v>
      </c>
      <c r="U60" s="375">
        <f>-'Flujo Caja'!U91</f>
        <v>0</v>
      </c>
      <c r="V60" s="375">
        <f>-'Flujo Caja'!V91</f>
        <v>0</v>
      </c>
      <c r="W60" s="376">
        <f>-'Flujo Caja'!W91</f>
        <v>0</v>
      </c>
    </row>
    <row r="61" spans="2:23" s="169" customFormat="1">
      <c r="B61" s="397"/>
      <c r="C61" s="397"/>
      <c r="D61" s="172" t="s">
        <v>654</v>
      </c>
      <c r="E61" s="372">
        <f t="shared" ref="E61:W61" si="20">+E58+E59+E60</f>
        <v>1392.6444936466028</v>
      </c>
      <c r="F61" s="372">
        <f t="shared" si="20"/>
        <v>2785.2889872932055</v>
      </c>
      <c r="G61" s="372">
        <f t="shared" si="20"/>
        <v>4177.9334809398079</v>
      </c>
      <c r="H61" s="372">
        <f t="shared" si="20"/>
        <v>5570.5779745864111</v>
      </c>
      <c r="I61" s="372">
        <f t="shared" si="20"/>
        <v>6963.2224682330143</v>
      </c>
      <c r="J61" s="372">
        <f t="shared" si="20"/>
        <v>8355.8669618796175</v>
      </c>
      <c r="K61" s="372">
        <f t="shared" si="20"/>
        <v>9748.5114555262207</v>
      </c>
      <c r="L61" s="372">
        <f t="shared" si="20"/>
        <v>11141.155949172824</v>
      </c>
      <c r="M61" s="372">
        <f t="shared" si="20"/>
        <v>12865.382465116236</v>
      </c>
      <c r="N61" s="372">
        <f t="shared" si="20"/>
        <v>14589.60898105965</v>
      </c>
      <c r="O61" s="372">
        <f t="shared" si="20"/>
        <v>16645.417519299874</v>
      </c>
      <c r="P61" s="372">
        <f t="shared" si="20"/>
        <v>18701.226057540098</v>
      </c>
      <c r="Q61" s="372">
        <f t="shared" si="20"/>
        <v>20757.034595780322</v>
      </c>
      <c r="R61" s="372">
        <f t="shared" si="20"/>
        <v>18957.617319084344</v>
      </c>
      <c r="S61" s="372">
        <f t="shared" si="20"/>
        <v>0</v>
      </c>
      <c r="T61" s="372">
        <f t="shared" si="20"/>
        <v>0</v>
      </c>
      <c r="U61" s="372">
        <f t="shared" si="20"/>
        <v>0</v>
      </c>
      <c r="V61" s="372">
        <f t="shared" si="20"/>
        <v>0</v>
      </c>
      <c r="W61" s="373">
        <f t="shared" si="20"/>
        <v>0</v>
      </c>
    </row>
    <row r="62" spans="2:23" s="148" customFormat="1">
      <c r="B62" s="377"/>
      <c r="C62" s="378"/>
      <c r="D62" s="350"/>
      <c r="E62" s="379"/>
      <c r="F62" s="379"/>
      <c r="G62" s="379"/>
      <c r="H62" s="379"/>
      <c r="I62" s="379"/>
      <c r="J62" s="379"/>
      <c r="K62" s="379"/>
      <c r="L62" s="379"/>
      <c r="M62" s="379"/>
      <c r="N62" s="379"/>
      <c r="O62" s="379"/>
      <c r="P62" s="379"/>
      <c r="Q62" s="379"/>
      <c r="R62" s="379"/>
      <c r="S62" s="379"/>
      <c r="T62" s="379"/>
      <c r="U62" s="379"/>
      <c r="V62" s="379"/>
      <c r="W62" s="380"/>
    </row>
    <row r="63" spans="2:23" s="83" customFormat="1">
      <c r="B63" s="364"/>
      <c r="C63" s="364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</row>
    <row r="64" spans="2:23" s="83" customFormat="1" ht="29">
      <c r="B64" s="365" t="s">
        <v>679</v>
      </c>
      <c r="C64" s="364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</row>
    <row r="65" spans="2:23" s="83" customFormat="1"/>
    <row r="66" spans="2:23" s="83" customFormat="1">
      <c r="B66" s="84"/>
      <c r="C66" s="84"/>
      <c r="D66" s="84"/>
      <c r="E66" s="14">
        <v>2017</v>
      </c>
      <c r="F66" s="14">
        <f>+E66+1</f>
        <v>2018</v>
      </c>
      <c r="G66" s="14">
        <f t="shared" ref="G66:V66" si="21">+F66+1</f>
        <v>2019</v>
      </c>
      <c r="H66" s="14">
        <f t="shared" si="21"/>
        <v>2020</v>
      </c>
      <c r="I66" s="14">
        <f t="shared" si="21"/>
        <v>2021</v>
      </c>
      <c r="J66" s="14">
        <f t="shared" si="21"/>
        <v>2022</v>
      </c>
      <c r="K66" s="14">
        <f t="shared" si="21"/>
        <v>2023</v>
      </c>
      <c r="L66" s="14">
        <f t="shared" si="21"/>
        <v>2024</v>
      </c>
      <c r="M66" s="14">
        <f t="shared" si="21"/>
        <v>2025</v>
      </c>
      <c r="N66" s="14">
        <f t="shared" si="21"/>
        <v>2026</v>
      </c>
      <c r="O66" s="14">
        <f t="shared" si="21"/>
        <v>2027</v>
      </c>
      <c r="P66" s="14">
        <f t="shared" si="21"/>
        <v>2028</v>
      </c>
      <c r="Q66" s="14">
        <f t="shared" si="21"/>
        <v>2029</v>
      </c>
      <c r="R66" s="14">
        <f t="shared" si="21"/>
        <v>2030</v>
      </c>
      <c r="S66" s="14">
        <f t="shared" si="21"/>
        <v>2031</v>
      </c>
      <c r="T66" s="14">
        <f t="shared" si="21"/>
        <v>2032</v>
      </c>
      <c r="U66" s="14">
        <f t="shared" si="21"/>
        <v>2033</v>
      </c>
      <c r="V66" s="14">
        <f t="shared" si="21"/>
        <v>2034</v>
      </c>
    </row>
    <row r="67" spans="2:23">
      <c r="B67" s="396" t="s">
        <v>659</v>
      </c>
      <c r="C67" s="395" t="s">
        <v>652</v>
      </c>
      <c r="D67" s="14" t="str">
        <f>+D34</f>
        <v>Saldo Inicial</v>
      </c>
      <c r="E67" s="35">
        <f t="shared" ref="E67:E73" si="22">+E34+E41+E48+E55</f>
        <v>146584.31625500001</v>
      </c>
      <c r="F67" s="35">
        <f t="shared" ref="F67:W67" si="23">+F34+F41+F48+F55</f>
        <v>146584.31625500001</v>
      </c>
      <c r="G67" s="35">
        <f t="shared" si="23"/>
        <v>146584.31625500001</v>
      </c>
      <c r="H67" s="35">
        <f t="shared" si="23"/>
        <v>146584.31625500001</v>
      </c>
      <c r="I67" s="35">
        <f t="shared" si="23"/>
        <v>122485.15213</v>
      </c>
      <c r="J67" s="35">
        <f t="shared" si="23"/>
        <v>96880.073155000005</v>
      </c>
      <c r="K67" s="35">
        <f t="shared" si="23"/>
        <v>96880.073155000005</v>
      </c>
      <c r="L67" s="35">
        <f t="shared" si="23"/>
        <v>92880.073155000005</v>
      </c>
      <c r="M67" s="35">
        <f t="shared" si="23"/>
        <v>91380.073155000005</v>
      </c>
      <c r="N67" s="35">
        <f t="shared" si="23"/>
        <v>81380.073155000005</v>
      </c>
      <c r="O67" s="35">
        <f t="shared" si="23"/>
        <v>67380.073155000005</v>
      </c>
      <c r="P67" s="35">
        <f t="shared" si="23"/>
        <v>55816.073155000005</v>
      </c>
      <c r="Q67" s="35">
        <f t="shared" si="23"/>
        <v>48316.073155000005</v>
      </c>
      <c r="R67" s="35">
        <f t="shared" si="23"/>
        <v>33882.073155000005</v>
      </c>
      <c r="S67" s="35">
        <f t="shared" si="23"/>
        <v>13882.073155000002</v>
      </c>
      <c r="T67" s="35">
        <f t="shared" si="23"/>
        <v>0</v>
      </c>
      <c r="U67" s="35">
        <f t="shared" si="23"/>
        <v>0</v>
      </c>
      <c r="V67" s="35">
        <f t="shared" si="23"/>
        <v>0</v>
      </c>
      <c r="W67" s="38">
        <f t="shared" si="23"/>
        <v>0</v>
      </c>
    </row>
    <row r="68" spans="2:23">
      <c r="B68" s="396"/>
      <c r="C68" s="395"/>
      <c r="D68" s="14" t="str">
        <f t="shared" ref="D68:D73" si="24">+D35</f>
        <v>Pago</v>
      </c>
      <c r="E68" s="35">
        <f t="shared" si="22"/>
        <v>0</v>
      </c>
      <c r="F68" s="35">
        <f t="shared" ref="F68:T68" si="25">+F35+F42+F49+F56</f>
        <v>0</v>
      </c>
      <c r="G68" s="35">
        <f t="shared" si="25"/>
        <v>0</v>
      </c>
      <c r="H68" s="35">
        <f t="shared" si="25"/>
        <v>-24099.164124999999</v>
      </c>
      <c r="I68" s="35">
        <f t="shared" si="25"/>
        <v>-25605.078975</v>
      </c>
      <c r="J68" s="35">
        <f t="shared" si="25"/>
        <v>0</v>
      </c>
      <c r="K68" s="35">
        <f t="shared" si="25"/>
        <v>-4000</v>
      </c>
      <c r="L68" s="35">
        <f t="shared" si="25"/>
        <v>-1500</v>
      </c>
      <c r="M68" s="35">
        <f t="shared" si="25"/>
        <v>-10000</v>
      </c>
      <c r="N68" s="35">
        <f t="shared" si="25"/>
        <v>-14000</v>
      </c>
      <c r="O68" s="35">
        <f t="shared" si="25"/>
        <v>-11564</v>
      </c>
      <c r="P68" s="35">
        <f t="shared" si="25"/>
        <v>-7500</v>
      </c>
      <c r="Q68" s="35">
        <f t="shared" si="25"/>
        <v>-14434</v>
      </c>
      <c r="R68" s="35">
        <f t="shared" si="25"/>
        <v>-20000</v>
      </c>
      <c r="S68" s="35">
        <f t="shared" si="25"/>
        <v>-13882.073155000002</v>
      </c>
      <c r="T68" s="35">
        <f t="shared" si="25"/>
        <v>0</v>
      </c>
      <c r="U68" s="35">
        <f t="shared" ref="U68:W73" si="26">+U35+U42+U49+U56</f>
        <v>0</v>
      </c>
      <c r="V68" s="35">
        <f t="shared" si="26"/>
        <v>0</v>
      </c>
      <c r="W68" s="38">
        <f t="shared" si="26"/>
        <v>0</v>
      </c>
    </row>
    <row r="69" spans="2:23">
      <c r="B69" s="396"/>
      <c r="C69" s="395"/>
      <c r="D69" s="14" t="str">
        <f t="shared" si="24"/>
        <v>Saldo Final</v>
      </c>
      <c r="E69" s="35">
        <f t="shared" si="22"/>
        <v>146584.31625500001</v>
      </c>
      <c r="F69" s="35">
        <f t="shared" ref="F69:T69" si="27">+F36+F43+F50+F57</f>
        <v>146584.31625500001</v>
      </c>
      <c r="G69" s="35">
        <f t="shared" si="27"/>
        <v>146584.31625500001</v>
      </c>
      <c r="H69" s="35">
        <f t="shared" si="27"/>
        <v>122485.15213</v>
      </c>
      <c r="I69" s="35">
        <f t="shared" si="27"/>
        <v>96880.073155000005</v>
      </c>
      <c r="J69" s="35">
        <f t="shared" si="27"/>
        <v>96880.073155000005</v>
      </c>
      <c r="K69" s="35">
        <f t="shared" si="27"/>
        <v>92880.073155000005</v>
      </c>
      <c r="L69" s="35">
        <f t="shared" si="27"/>
        <v>91380.073155000005</v>
      </c>
      <c r="M69" s="35">
        <f t="shared" si="27"/>
        <v>81380.073155000005</v>
      </c>
      <c r="N69" s="35">
        <f t="shared" si="27"/>
        <v>67380.073155000005</v>
      </c>
      <c r="O69" s="35">
        <f t="shared" si="27"/>
        <v>55816.073155000005</v>
      </c>
      <c r="P69" s="35">
        <f t="shared" si="27"/>
        <v>48316.073155000005</v>
      </c>
      <c r="Q69" s="35">
        <f t="shared" si="27"/>
        <v>33882.073155000005</v>
      </c>
      <c r="R69" s="35">
        <f t="shared" si="27"/>
        <v>13882.073155000002</v>
      </c>
      <c r="S69" s="35">
        <f t="shared" si="27"/>
        <v>0</v>
      </c>
      <c r="T69" s="35">
        <f t="shared" si="27"/>
        <v>0</v>
      </c>
      <c r="U69" s="35">
        <f t="shared" si="26"/>
        <v>0</v>
      </c>
      <c r="V69" s="35">
        <f t="shared" si="26"/>
        <v>0</v>
      </c>
      <c r="W69" s="38">
        <f t="shared" si="26"/>
        <v>0</v>
      </c>
    </row>
    <row r="70" spans="2:23">
      <c r="B70" s="396"/>
      <c r="C70" s="395" t="s">
        <v>652</v>
      </c>
      <c r="D70" s="14" t="str">
        <f t="shared" si="24"/>
        <v>Saldo Inicial</v>
      </c>
      <c r="E70" s="35">
        <f t="shared" si="22"/>
        <v>0</v>
      </c>
      <c r="F70" s="35">
        <f t="shared" ref="F70:T70" si="28">+F37+F44+F51+F58</f>
        <v>5401.0497183299995</v>
      </c>
      <c r="G70" s="35">
        <f t="shared" si="28"/>
        <v>11557.59100104</v>
      </c>
      <c r="H70" s="35">
        <f t="shared" si="28"/>
        <v>17714.132283749997</v>
      </c>
      <c r="I70" s="35">
        <f t="shared" si="28"/>
        <v>23742.304767706002</v>
      </c>
      <c r="J70" s="35">
        <f t="shared" si="28"/>
        <v>28886.681157166</v>
      </c>
      <c r="K70" s="35">
        <f t="shared" si="28"/>
        <v>32955.644229676</v>
      </c>
      <c r="L70" s="35">
        <f t="shared" si="28"/>
        <v>36224.607302185999</v>
      </c>
      <c r="M70" s="35">
        <f t="shared" si="28"/>
        <v>39825.570374696006</v>
      </c>
      <c r="N70" s="35">
        <f t="shared" si="28"/>
        <v>42577.334178756006</v>
      </c>
      <c r="O70" s="35">
        <f t="shared" si="28"/>
        <v>44009.097982816005</v>
      </c>
      <c r="P70" s="35">
        <f t="shared" si="28"/>
        <v>45873.862518426009</v>
      </c>
      <c r="Q70" s="35">
        <f t="shared" si="28"/>
        <v>47834.459054036008</v>
      </c>
      <c r="R70" s="35">
        <f t="shared" si="28"/>
        <v>47943.255589646011</v>
      </c>
      <c r="S70" s="35">
        <f t="shared" si="28"/>
        <v>46043.944125256006</v>
      </c>
      <c r="T70" s="35">
        <f t="shared" si="28"/>
        <v>0</v>
      </c>
      <c r="U70" s="35">
        <f t="shared" si="26"/>
        <v>0</v>
      </c>
      <c r="V70" s="35">
        <f t="shared" si="26"/>
        <v>0</v>
      </c>
      <c r="W70" s="38">
        <f t="shared" si="26"/>
        <v>0</v>
      </c>
    </row>
    <row r="71" spans="2:23">
      <c r="B71" s="396"/>
      <c r="C71" s="395"/>
      <c r="D71" s="14" t="str">
        <f t="shared" si="24"/>
        <v>Causación Intereses</v>
      </c>
      <c r="E71" s="35">
        <f t="shared" si="22"/>
        <v>5401.0497183299995</v>
      </c>
      <c r="F71" s="35">
        <f t="shared" ref="F71:T71" si="29">+F38+F45+F52+F59</f>
        <v>6156.5412827100008</v>
      </c>
      <c r="G71" s="35">
        <f t="shared" si="29"/>
        <v>6156.5412827100008</v>
      </c>
      <c r="H71" s="35">
        <f t="shared" si="29"/>
        <v>6156.5412827100008</v>
      </c>
      <c r="I71" s="35">
        <f t="shared" si="29"/>
        <v>5144.3763894599997</v>
      </c>
      <c r="J71" s="35">
        <f t="shared" si="29"/>
        <v>4068.9630725100005</v>
      </c>
      <c r="K71" s="35">
        <f t="shared" si="29"/>
        <v>4068.9630725100005</v>
      </c>
      <c r="L71" s="35">
        <f t="shared" si="29"/>
        <v>3900.9630725100005</v>
      </c>
      <c r="M71" s="35">
        <f t="shared" si="29"/>
        <v>4751.7638040599995</v>
      </c>
      <c r="N71" s="35">
        <f t="shared" si="29"/>
        <v>4231.7638040599995</v>
      </c>
      <c r="O71" s="35">
        <f t="shared" si="29"/>
        <v>4177.5645356100003</v>
      </c>
      <c r="P71" s="35">
        <f t="shared" si="29"/>
        <v>3460.5965356100005</v>
      </c>
      <c r="Q71" s="35">
        <f t="shared" si="29"/>
        <v>2995.5965356100005</v>
      </c>
      <c r="R71" s="35">
        <f t="shared" si="29"/>
        <v>2100.6885356100001</v>
      </c>
      <c r="S71" s="35">
        <f t="shared" si="29"/>
        <v>860.68853561000014</v>
      </c>
      <c r="T71" s="35">
        <f t="shared" si="29"/>
        <v>0</v>
      </c>
      <c r="U71" s="35">
        <f t="shared" si="26"/>
        <v>0</v>
      </c>
      <c r="V71" s="35">
        <f t="shared" si="26"/>
        <v>0</v>
      </c>
      <c r="W71" s="38">
        <f t="shared" si="26"/>
        <v>0</v>
      </c>
    </row>
    <row r="72" spans="2:23">
      <c r="B72" s="396"/>
      <c r="C72" s="395"/>
      <c r="D72" s="14" t="str">
        <f t="shared" si="24"/>
        <v>Pago</v>
      </c>
      <c r="E72" s="35">
        <f t="shared" si="22"/>
        <v>0</v>
      </c>
      <c r="F72" s="35">
        <f t="shared" ref="F72:T72" si="30">+F39+F46+F53+F60</f>
        <v>0</v>
      </c>
      <c r="G72" s="35">
        <f t="shared" si="30"/>
        <v>0</v>
      </c>
      <c r="H72" s="35">
        <f t="shared" si="30"/>
        <v>-128.36879875400001</v>
      </c>
      <c r="I72" s="35">
        <f t="shared" si="30"/>
        <v>0</v>
      </c>
      <c r="J72" s="35">
        <f t="shared" si="30"/>
        <v>0</v>
      </c>
      <c r="K72" s="35">
        <f t="shared" si="30"/>
        <v>-800</v>
      </c>
      <c r="L72" s="35">
        <f t="shared" si="30"/>
        <v>-300</v>
      </c>
      <c r="M72" s="35">
        <f t="shared" si="30"/>
        <v>-2000</v>
      </c>
      <c r="N72" s="35">
        <f t="shared" si="30"/>
        <v>-2800</v>
      </c>
      <c r="O72" s="35">
        <f t="shared" si="30"/>
        <v>-2312.8000000000002</v>
      </c>
      <c r="P72" s="35">
        <f t="shared" si="30"/>
        <v>-1500</v>
      </c>
      <c r="Q72" s="35">
        <f t="shared" si="30"/>
        <v>-2886.8</v>
      </c>
      <c r="R72" s="35">
        <f t="shared" si="30"/>
        <v>-4000</v>
      </c>
      <c r="S72" s="35">
        <f t="shared" si="30"/>
        <v>-46904.632660866009</v>
      </c>
      <c r="T72" s="35">
        <f t="shared" si="30"/>
        <v>0</v>
      </c>
      <c r="U72" s="35">
        <f t="shared" si="26"/>
        <v>0</v>
      </c>
      <c r="V72" s="35">
        <f t="shared" si="26"/>
        <v>0</v>
      </c>
      <c r="W72" s="38">
        <f t="shared" si="26"/>
        <v>0</v>
      </c>
    </row>
    <row r="73" spans="2:23">
      <c r="B73" s="396"/>
      <c r="C73" s="395"/>
      <c r="D73" s="14" t="str">
        <f t="shared" si="24"/>
        <v>Saldo Final</v>
      </c>
      <c r="E73" s="35">
        <f t="shared" si="22"/>
        <v>5401.0497183299995</v>
      </c>
      <c r="F73" s="35">
        <f t="shared" ref="F73:T73" si="31">+F40+F47+F54+F61</f>
        <v>11557.59100104</v>
      </c>
      <c r="G73" s="35">
        <f t="shared" si="31"/>
        <v>17714.132283749997</v>
      </c>
      <c r="H73" s="35">
        <f t="shared" si="31"/>
        <v>23742.304767706002</v>
      </c>
      <c r="I73" s="35">
        <f t="shared" si="31"/>
        <v>28886.681157166</v>
      </c>
      <c r="J73" s="35">
        <f t="shared" si="31"/>
        <v>32955.644229676</v>
      </c>
      <c r="K73" s="35">
        <f t="shared" si="31"/>
        <v>36224.607302185999</v>
      </c>
      <c r="L73" s="35">
        <f t="shared" si="31"/>
        <v>39825.570374696006</v>
      </c>
      <c r="M73" s="35">
        <f t="shared" si="31"/>
        <v>42577.334178756006</v>
      </c>
      <c r="N73" s="35">
        <f t="shared" si="31"/>
        <v>44009.097982816005</v>
      </c>
      <c r="O73" s="35">
        <f t="shared" si="31"/>
        <v>45873.862518426009</v>
      </c>
      <c r="P73" s="35">
        <f t="shared" si="31"/>
        <v>47834.459054036008</v>
      </c>
      <c r="Q73" s="35">
        <f t="shared" si="31"/>
        <v>47943.255589646011</v>
      </c>
      <c r="R73" s="35">
        <f t="shared" si="31"/>
        <v>46043.944125256006</v>
      </c>
      <c r="S73" s="35">
        <f t="shared" si="31"/>
        <v>0</v>
      </c>
      <c r="T73" s="35">
        <f t="shared" si="31"/>
        <v>0</v>
      </c>
      <c r="U73" s="35">
        <f t="shared" si="26"/>
        <v>0</v>
      </c>
      <c r="V73" s="35">
        <f t="shared" si="26"/>
        <v>0</v>
      </c>
      <c r="W73" s="38">
        <f t="shared" si="26"/>
        <v>0</v>
      </c>
    </row>
    <row r="76" spans="2:23">
      <c r="M76" s="38"/>
    </row>
    <row r="78" spans="2:23">
      <c r="N78" s="38"/>
      <c r="O78" s="367"/>
    </row>
    <row r="79" spans="2:23">
      <c r="O79" s="38"/>
      <c r="P79" s="38"/>
      <c r="Q79" s="38"/>
    </row>
    <row r="80" spans="2:23">
      <c r="Q80" s="38"/>
      <c r="R80" s="38"/>
      <c r="S80" s="38"/>
    </row>
  </sheetData>
  <mergeCells count="20">
    <mergeCell ref="C15:J15"/>
    <mergeCell ref="C26:K26"/>
    <mergeCell ref="C27:K27"/>
    <mergeCell ref="C29:K29"/>
    <mergeCell ref="C67:C69"/>
    <mergeCell ref="C70:C73"/>
    <mergeCell ref="B67:B73"/>
    <mergeCell ref="C25:K25"/>
    <mergeCell ref="B48:B54"/>
    <mergeCell ref="C48:C50"/>
    <mergeCell ref="C51:C54"/>
    <mergeCell ref="B55:B61"/>
    <mergeCell ref="C55:C57"/>
    <mergeCell ref="C58:C61"/>
    <mergeCell ref="C34:C36"/>
    <mergeCell ref="C37:C40"/>
    <mergeCell ref="B34:B40"/>
    <mergeCell ref="B41:B47"/>
    <mergeCell ref="C41:C43"/>
    <mergeCell ref="C44:C47"/>
  </mergeCells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BM135"/>
  <sheetViews>
    <sheetView topLeftCell="N3" zoomScale="150" zoomScaleNormal="150" zoomScalePageLayoutView="150" workbookViewId="0">
      <selection activeCell="D24" sqref="D24"/>
    </sheetView>
  </sheetViews>
  <sheetFormatPr baseColWidth="10" defaultRowHeight="16"/>
  <cols>
    <col min="1" max="1" width="16.83203125" bestFit="1" customWidth="1"/>
    <col min="2" max="2" width="38" bestFit="1" customWidth="1"/>
    <col min="3" max="3" width="8.1640625" bestFit="1" customWidth="1"/>
    <col min="6" max="6" width="18.83203125" bestFit="1" customWidth="1"/>
    <col min="7" max="10" width="23.5" bestFit="1" customWidth="1"/>
    <col min="11" max="11" width="18.5" bestFit="1" customWidth="1"/>
    <col min="12" max="15" width="23.1640625" bestFit="1" customWidth="1"/>
    <col min="16" max="16" width="17.6640625" bestFit="1" customWidth="1"/>
    <col min="17" max="20" width="22.33203125" bestFit="1" customWidth="1"/>
    <col min="21" max="21" width="20.6640625" bestFit="1" customWidth="1"/>
    <col min="22" max="25" width="25.1640625" bestFit="1" customWidth="1"/>
    <col min="26" max="26" width="21.33203125" bestFit="1" customWidth="1"/>
    <col min="27" max="30" width="26" bestFit="1" customWidth="1"/>
    <col min="31" max="31" width="21.1640625" bestFit="1" customWidth="1"/>
    <col min="32" max="35" width="25.6640625" bestFit="1" customWidth="1"/>
    <col min="36" max="36" width="16.33203125" bestFit="1" customWidth="1"/>
    <col min="37" max="40" width="21" bestFit="1" customWidth="1"/>
    <col min="41" max="41" width="12.6640625" bestFit="1" customWidth="1"/>
    <col min="42" max="45" width="17.33203125" bestFit="1" customWidth="1"/>
    <col min="46" max="46" width="19.83203125" bestFit="1" customWidth="1"/>
    <col min="47" max="50" width="24.5" bestFit="1" customWidth="1"/>
    <col min="51" max="51" width="17.33203125" bestFit="1" customWidth="1"/>
    <col min="52" max="55" width="22" bestFit="1" customWidth="1"/>
    <col min="56" max="56" width="16" bestFit="1" customWidth="1"/>
    <col min="57" max="60" width="20.6640625" bestFit="1" customWidth="1"/>
    <col min="61" max="61" width="17.1640625" bestFit="1" customWidth="1"/>
    <col min="62" max="65" width="22" bestFit="1" customWidth="1"/>
  </cols>
  <sheetData>
    <row r="2" spans="1:65">
      <c r="F2">
        <v>2019</v>
      </c>
      <c r="G2" t="s">
        <v>402</v>
      </c>
      <c r="H2" t="s">
        <v>403</v>
      </c>
      <c r="I2" t="s">
        <v>404</v>
      </c>
      <c r="J2" t="s">
        <v>405</v>
      </c>
    </row>
    <row r="3" spans="1:65">
      <c r="F3" t="str">
        <f>+CONCATENATE($A4," ",F$2)</f>
        <v>Ventas Externas 2019</v>
      </c>
      <c r="G3" t="str">
        <f>+CONCATENATE($A4," ",G$2)</f>
        <v>Ventas Externas 2020-2024</v>
      </c>
      <c r="H3" t="str">
        <f>+CONCATENATE($A4," ",H$2)</f>
        <v>Ventas Externas 2025-2029</v>
      </c>
      <c r="I3" t="str">
        <f>+CONCATENATE($A4," ",I$2)</f>
        <v>Ventas Externas 2030-2034</v>
      </c>
      <c r="J3" t="str">
        <f>+CONCATENATE($A4," ",J$2)</f>
        <v>Ventas Externas 2035-2039</v>
      </c>
      <c r="K3" t="str">
        <f>+CONCATENATE($A5," ",F$2)</f>
        <v>Ventas Internas 2019</v>
      </c>
      <c r="L3" t="str">
        <f>+CONCATENATE($A5," ",G$2)</f>
        <v>Ventas Internas 2020-2024</v>
      </c>
      <c r="M3" t="str">
        <f>+CONCATENATE($A5," ",H$2)</f>
        <v>Ventas Internas 2025-2029</v>
      </c>
      <c r="N3" t="str">
        <f>+CONCATENATE($A5," ",I$2)</f>
        <v>Ventas Internas 2030-2034</v>
      </c>
      <c r="O3" t="str">
        <f>+CONCATENATE($A5," ",J$2)</f>
        <v>Ventas Internas 2035-2039</v>
      </c>
      <c r="P3" t="str">
        <f>+CONCATENATE($A6," ",F$2)</f>
        <v>Ventas Totales 2019</v>
      </c>
      <c r="Q3" t="str">
        <f>+CONCATENATE($A6," ",G$2)</f>
        <v>Ventas Totales 2020-2024</v>
      </c>
      <c r="R3" t="str">
        <f>+CONCATENATE($A6," ",H$2)</f>
        <v>Ventas Totales 2025-2029</v>
      </c>
      <c r="S3" t="str">
        <f>+CONCATENATE($A6," ",I$2)</f>
        <v>Ventas Totales 2030-2034</v>
      </c>
      <c r="T3" t="str">
        <f>+CONCATENATE($A6," ",J$2)</f>
        <v>Ventas Totales 2035-2039</v>
      </c>
      <c r="U3" t="str">
        <f>+CONCATENATE($A7," ",F$2)</f>
        <v>Utilidad Operativa 2019</v>
      </c>
      <c r="V3" t="str">
        <f>+CONCATENATE($A7," ",G$2)</f>
        <v>Utilidad Operativa 2020-2024</v>
      </c>
      <c r="W3" t="str">
        <f>+CONCATENATE($A7," ",H$2)</f>
        <v>Utilidad Operativa 2025-2029</v>
      </c>
      <c r="X3" t="str">
        <f>+CONCATENATE($A7," ",I$2)</f>
        <v>Utilidad Operativa 2030-2034</v>
      </c>
      <c r="Y3" t="str">
        <f>+CONCATENATE($A7," ",J$2)</f>
        <v>Utilidad Operativa 2035-2039</v>
      </c>
      <c r="Z3" t="str">
        <f>+CONCATENATE($A8," ",F$2)</f>
        <v>FC Negoc. Externos 2019</v>
      </c>
      <c r="AA3" t="str">
        <f>+CONCATENATE($A8," ",G$2)</f>
        <v>FC Negoc. Externos 2020-2024</v>
      </c>
      <c r="AB3" t="str">
        <f>+CONCATENATE($A8," ",H$2)</f>
        <v>FC Negoc. Externos 2025-2029</v>
      </c>
      <c r="AC3" t="str">
        <f>+CONCATENATE($A8," ",I$2)</f>
        <v>FC Negoc. Externos 2030-2034</v>
      </c>
      <c r="AD3" t="str">
        <f>+CONCATENATE($A8," ",J$2)</f>
        <v>FC Negoc. Externos 2035-2039</v>
      </c>
      <c r="AE3" t="str">
        <f>+CONCATENATE($A9," ",F$2)</f>
        <v>FC Negoc. Internos 2019</v>
      </c>
      <c r="AF3" t="str">
        <f>+CONCATENATE($A9," ",G$2)</f>
        <v>FC Negoc. Internos 2020-2024</v>
      </c>
      <c r="AG3" t="str">
        <f>+CONCATENATE($A9," ",H$2)</f>
        <v>FC Negoc. Internos 2025-2029</v>
      </c>
      <c r="AH3" t="str">
        <f>+CONCATENATE($A9," ",I$2)</f>
        <v>FC Negoc. Internos 2030-2034</v>
      </c>
      <c r="AI3" t="str">
        <f>+CONCATENATE($A9," ",J$2)</f>
        <v>FC Negoc. Internos 2035-2039</v>
      </c>
      <c r="AJ3" t="str">
        <f>+CONCATENATE($A10," ",F$2)</f>
        <v>FC.Operativo 2019</v>
      </c>
      <c r="AK3" t="str">
        <f>+CONCATENATE($A10," ",G$2)</f>
        <v>FC.Operativo 2020-2024</v>
      </c>
      <c r="AL3" t="str">
        <f>+CONCATENATE($A10," ",H$2)</f>
        <v>FC.Operativo 2025-2029</v>
      </c>
      <c r="AM3" t="str">
        <f>+CONCATENATE($A10," ",I$2)</f>
        <v>FC.Operativo 2030-2034</v>
      </c>
      <c r="AN3" t="str">
        <f>+CONCATENATE($A10," ",J$2)</f>
        <v>FC.Operativo 2035-2039</v>
      </c>
      <c r="AO3" t="str">
        <f>+CONCATENATE($A11," ",F$2)</f>
        <v>FC. Libre 2019</v>
      </c>
      <c r="AP3" t="str">
        <f>+CONCATENATE($A11," ",G$2)</f>
        <v>FC. Libre 2020-2024</v>
      </c>
      <c r="AQ3" t="str">
        <f>+CONCATENATE($A11," ",H$2)</f>
        <v>FC. Libre 2025-2029</v>
      </c>
      <c r="AR3" t="str">
        <f>+CONCATENATE($A11," ",I$2)</f>
        <v>FC. Libre 2030-2034</v>
      </c>
      <c r="AS3" t="str">
        <f>+CONCATENATE($A11," ",J$2)</f>
        <v>FC. Libre 2035-2039</v>
      </c>
      <c r="AT3" t="str">
        <f>+CONCATENATE($A12," ",F$2)</f>
        <v>FC. Venta Activos 2019</v>
      </c>
      <c r="AU3" t="str">
        <f>+CONCATENATE($A12," ",G$2)</f>
        <v>FC. Venta Activos 2020-2024</v>
      </c>
      <c r="AV3" t="str">
        <f>+CONCATENATE($A12," ",H$2)</f>
        <v>FC. Venta Activos 2025-2029</v>
      </c>
      <c r="AW3" t="str">
        <f>+CONCATENATE($A12," ",I$2)</f>
        <v>FC. Venta Activos 2030-2034</v>
      </c>
      <c r="AX3" t="str">
        <f>+CONCATENATE($A12," ",J$2)</f>
        <v>FC. Venta Activos 2035-2039</v>
      </c>
      <c r="AY3" t="str">
        <f>+CONCATENATE($A13," ",F$2)</f>
        <v>FC Antes 1116 2019</v>
      </c>
      <c r="AZ3" t="str">
        <f>+CONCATENATE($A13," ",G$2)</f>
        <v>FC Antes 1116 2020-2024</v>
      </c>
      <c r="BA3" t="str">
        <f>+CONCATENATE($A13," ",H$2)</f>
        <v>FC Antes 1116 2025-2029</v>
      </c>
      <c r="BB3" t="str">
        <f>+CONCATENATE($A13," ",I$2)</f>
        <v>FC Antes 1116 2030-2034</v>
      </c>
      <c r="BC3" t="str">
        <f>+CONCATENATE($A13," ",J$2)</f>
        <v>FC Antes 1116 2035-2039</v>
      </c>
      <c r="BD3" t="str">
        <f>+CONCATENATE($A14," ",F$2)</f>
        <v>Pago Bancos 2019</v>
      </c>
      <c r="BE3" t="str">
        <f>+CONCATENATE($A14," ",G$2)</f>
        <v>Pago Bancos 2020-2024</v>
      </c>
      <c r="BF3" t="str">
        <f>+CONCATENATE($A14," ",H$2)</f>
        <v>Pago Bancos 2025-2029</v>
      </c>
      <c r="BG3" t="str">
        <f>+CONCATENATE($A14," ",I$2)</f>
        <v>Pago Bancos 2030-2034</v>
      </c>
      <c r="BH3" t="str">
        <f>+CONCATENATE($A14," ",J$2)</f>
        <v>Pago Bancos 2035-2039</v>
      </c>
      <c r="BI3" t="str">
        <f>+CONCATENATE($A16," ",F$2)</f>
        <v>Deuda Bancos 2019</v>
      </c>
      <c r="BJ3" t="str">
        <f>+CONCATENATE($A16," ",G$2)</f>
        <v>Deuda Bancos 2020-2024</v>
      </c>
      <c r="BK3" t="str">
        <f>+CONCATENATE($A16," ",H$2)</f>
        <v>Deuda Bancos 2025-2029</v>
      </c>
      <c r="BL3" t="str">
        <f>+CONCATENATE($A16," ",I$2)</f>
        <v>Deuda Bancos 2030-2034</v>
      </c>
      <c r="BM3" t="str">
        <f>+CONCATENATE($A16," ",J$2)</f>
        <v>Deuda Bancos 2035-2039</v>
      </c>
    </row>
    <row r="4" spans="1:65">
      <c r="A4" t="s">
        <v>392</v>
      </c>
      <c r="B4" t="str">
        <f>+B24</f>
        <v>Rentabilidad construcción</v>
      </c>
      <c r="C4" s="1">
        <f>+C27</f>
        <v>1</v>
      </c>
      <c r="F4" s="38">
        <f>+PyG!L6</f>
        <v>148633</v>
      </c>
      <c r="G4" s="38">
        <f>+SUM(PyG!M6:Q6)</f>
        <v>1027339.40961536</v>
      </c>
      <c r="H4" s="38">
        <f>+SUM(PyG!R6:V6)</f>
        <v>1951773.3701901464</v>
      </c>
      <c r="I4" s="38">
        <f>+SUM(PyG!W6:AA6)</f>
        <v>2705870.9652493545</v>
      </c>
      <c r="J4" s="38">
        <f>+SUM(PyG!AB6:AF6)</f>
        <v>3767463.2929466581</v>
      </c>
    </row>
    <row r="5" spans="1:65">
      <c r="A5" t="s">
        <v>391</v>
      </c>
      <c r="B5" t="str">
        <f>+B31</f>
        <v>Rentabilidad Inmobiliaria</v>
      </c>
      <c r="C5" s="1">
        <f>+C34</f>
        <v>1</v>
      </c>
      <c r="F5" s="38">
        <f>+PyG!L24</f>
        <v>58607.806938146008</v>
      </c>
      <c r="G5" s="38">
        <f>+SUM(PyG!M24:Q24)</f>
        <v>396959.86269778351</v>
      </c>
      <c r="H5" s="38">
        <f>+SUM(PyG!R24:V24)</f>
        <v>1056368.0686309712</v>
      </c>
      <c r="I5" s="38">
        <f>+SUM(PyG!W23:AA24)</f>
        <v>1433394.9722535971</v>
      </c>
      <c r="J5" s="38">
        <f>+SUM(PyG!AB24:AF24)</f>
        <v>1714592.6143549006</v>
      </c>
      <c r="S5" t="s">
        <v>406</v>
      </c>
    </row>
    <row r="6" spans="1:65">
      <c r="A6" t="s">
        <v>16</v>
      </c>
      <c r="B6" t="str">
        <f>+B38</f>
        <v>Tasa del acuerdo</v>
      </c>
      <c r="F6" s="38">
        <f>+PyG!L5</f>
        <v>207240.80693814601</v>
      </c>
      <c r="G6" s="38">
        <f>+SUM(PyG!M5:Q5)</f>
        <v>1424299.2723131436</v>
      </c>
      <c r="H6" s="38">
        <f>+SUM(PyG!R5:V5)</f>
        <v>3008141.4388211174</v>
      </c>
      <c r="I6" s="38">
        <f>+SUM(PyG!W5:AA5)</f>
        <v>4139265.9375029518</v>
      </c>
      <c r="J6" s="38">
        <f>+SUM(PyG!AB5:AF5)</f>
        <v>5482055.9073015582</v>
      </c>
    </row>
    <row r="7" spans="1:65">
      <c r="A7" t="s">
        <v>393</v>
      </c>
      <c r="B7" t="str">
        <f>+B43</f>
        <v>Capital de Trabajo (Ventas externas)</v>
      </c>
      <c r="C7" s="1">
        <f>+C46</f>
        <v>1</v>
      </c>
      <c r="F7" s="38">
        <f>+PyG!L132</f>
        <v>576.17145620247902</v>
      </c>
      <c r="G7" s="38">
        <f>+SUM(PyG!M132:Q132)</f>
        <v>21567.023791382959</v>
      </c>
      <c r="H7" s="38">
        <f>+SUM(PyG!R132:V132)</f>
        <v>172590.48068627872</v>
      </c>
      <c r="I7" s="38">
        <f>+SUM(PyG!W132:AA132)</f>
        <v>245304.33543835796</v>
      </c>
      <c r="J7" s="38">
        <f>+SUM(PyG!AB132:AF132)</f>
        <v>312572.12256135058</v>
      </c>
    </row>
    <row r="8" spans="1:65">
      <c r="A8" t="s">
        <v>394</v>
      </c>
      <c r="B8" t="str">
        <f>+B50</f>
        <v>Crecimiento Ventas generadas Externamente</v>
      </c>
      <c r="C8" s="1">
        <f>+C53</f>
        <v>1</v>
      </c>
      <c r="F8" s="3">
        <f>+'Flujo Caja'!G13</f>
        <v>15552.374</v>
      </c>
      <c r="G8" s="3">
        <f>+SUM('Flujo Caja'!H13:L13)</f>
        <v>38928.752718241274</v>
      </c>
      <c r="H8" s="3">
        <f>+SUM('Flujo Caja'!M13:Q13)</f>
        <v>109089.55425693245</v>
      </c>
      <c r="I8" s="3">
        <f>+SUM('Flujo Caja'!R13:V13)</f>
        <v>160453.33184339182</v>
      </c>
      <c r="J8" s="3">
        <f>+SUM('Flujo Caja'!W13:AA13)</f>
        <v>207330.79045042978</v>
      </c>
      <c r="K8" s="3"/>
    </row>
    <row r="9" spans="1:65">
      <c r="A9" t="s">
        <v>395</v>
      </c>
      <c r="B9" t="str">
        <f>+B57</f>
        <v>Crecimiento Ventas generadas Internamente</v>
      </c>
      <c r="C9" s="1">
        <f>+C60</f>
        <v>1</v>
      </c>
      <c r="F9" s="3">
        <f>+'Flujo Caja'!G19</f>
        <v>-1375</v>
      </c>
      <c r="G9" s="3">
        <f>+SUM('Flujo Caja'!H19:L19)</f>
        <v>30444.872814722934</v>
      </c>
      <c r="H9" s="3">
        <f>+SUM('Flujo Caja'!M19:Q19)</f>
        <v>133557.68569856457</v>
      </c>
      <c r="I9" s="3">
        <f>+SUM('Flujo Caja'!R19:V19)</f>
        <v>221060.39787905008</v>
      </c>
      <c r="J9" s="3">
        <f>+SUM('Flujo Caja'!W19:AA19)</f>
        <v>244922.18470856026</v>
      </c>
    </row>
    <row r="10" spans="1:65">
      <c r="A10" t="s">
        <v>396</v>
      </c>
      <c r="B10">
        <f>+B64</f>
        <v>0</v>
      </c>
      <c r="C10" t="str">
        <f>+C64</f>
        <v>No</v>
      </c>
      <c r="F10" s="3">
        <f>+'Flujo Caja'!G28</f>
        <v>-2128.3484208144382</v>
      </c>
      <c r="G10" s="3">
        <f>+SUM('Flujo Caja'!H28:L28)</f>
        <v>-22448.930062982039</v>
      </c>
      <c r="H10" s="3">
        <f>+SUM('Flujo Caja'!M28:Q28)</f>
        <v>86680.380388677047</v>
      </c>
      <c r="I10" s="3">
        <f>+SUM('Flujo Caja'!R28:V28)</f>
        <v>152842.871488609</v>
      </c>
      <c r="J10" s="3">
        <f>+SUM('Flujo Caja'!W28:AA28)</f>
        <v>161012.63766141798</v>
      </c>
    </row>
    <row r="11" spans="1:65">
      <c r="A11" t="s">
        <v>397</v>
      </c>
      <c r="F11" s="3">
        <f>+'Flujo Caja'!G38</f>
        <v>-6836.3484208144382</v>
      </c>
      <c r="G11" s="3">
        <f>+SUM('Flujo Caja'!H38:L38)</f>
        <v>-39295.952524797045</v>
      </c>
      <c r="H11" s="3">
        <f>+SUM('Flujo Caja'!M38:Q38)</f>
        <v>70964.334954769991</v>
      </c>
      <c r="I11" s="3">
        <f>+SUM('Flujo Caja'!R38:V38)</f>
        <v>152047.90403416895</v>
      </c>
      <c r="J11" s="3">
        <f>+SUM('Flujo Caja'!W38:AA38)</f>
        <v>159169.26109981319</v>
      </c>
    </row>
    <row r="12" spans="1:65">
      <c r="A12" t="s">
        <v>398</v>
      </c>
      <c r="F12" s="3">
        <f>+'Flujo Caja'!G44</f>
        <v>0</v>
      </c>
      <c r="G12" s="3">
        <f>+SUM('Flujo Caja'!H44:L44)</f>
        <v>92606.565673773322</v>
      </c>
      <c r="H12" s="3">
        <f>+SUM('Flujo Caja'!M44:Q44)</f>
        <v>5824.8866666666672</v>
      </c>
      <c r="I12" s="3">
        <f>+SUM('Flujo Caja'!R44:V44)</f>
        <v>0</v>
      </c>
      <c r="J12" s="3">
        <f>+SUM('Flujo Caja'!W44:AA44)</f>
        <v>0</v>
      </c>
    </row>
    <row r="13" spans="1:65">
      <c r="A13" t="s">
        <v>399</v>
      </c>
      <c r="F13" s="3">
        <f>+'Flujo Caja'!G47</f>
        <v>-2989.4121708044381</v>
      </c>
      <c r="G13" s="3">
        <f>+SUM('Flujo Caja'!H47:L47)</f>
        <v>63557.119679976284</v>
      </c>
      <c r="H13" s="3">
        <f>+SUM('Flujo Caja'!M47:Q47)</f>
        <v>76789.221621436664</v>
      </c>
      <c r="I13" s="3">
        <f>+SUM('Flujo Caja'!R47:V47)</f>
        <v>152047.90403416895</v>
      </c>
      <c r="J13" s="3">
        <f>+SUM('Flujo Caja'!W47:AA47)</f>
        <v>159169.26109981319</v>
      </c>
    </row>
    <row r="14" spans="1:65">
      <c r="A14" t="s">
        <v>400</v>
      </c>
      <c r="F14" s="3">
        <f>+'Flujo Caja'!G92</f>
        <v>0</v>
      </c>
      <c r="G14" s="3">
        <f>+SUM('Flujo Caja'!H92:L92)</f>
        <v>54239.064161999995</v>
      </c>
      <c r="H14" s="3">
        <f>+SUM('Flujo Caja'!M92:Q92)</f>
        <v>37601.576595318984</v>
      </c>
      <c r="I14" s="3">
        <f>+SUM('Flujo Caja'!R92:V92)</f>
        <v>20394.943595681016</v>
      </c>
      <c r="J14" s="3">
        <f>+SUM('Flujo Caja'!W92:AA92)</f>
        <v>0</v>
      </c>
    </row>
    <row r="15" spans="1:65">
      <c r="F15" s="3">
        <v>2019</v>
      </c>
      <c r="G15" s="3">
        <v>2020</v>
      </c>
      <c r="H15" s="3">
        <v>2021</v>
      </c>
      <c r="I15" s="3">
        <v>2022</v>
      </c>
      <c r="J15" s="3">
        <v>2023</v>
      </c>
      <c r="K15" s="3">
        <v>2024</v>
      </c>
      <c r="L15" s="3">
        <v>2025</v>
      </c>
      <c r="M15" s="3">
        <v>2026</v>
      </c>
      <c r="N15" s="3">
        <v>2027</v>
      </c>
      <c r="O15" s="3">
        <v>2028</v>
      </c>
      <c r="P15" s="3">
        <v>2029</v>
      </c>
      <c r="Q15" s="3">
        <v>2030</v>
      </c>
      <c r="R15" s="3">
        <v>2031</v>
      </c>
      <c r="S15" s="3">
        <v>2032</v>
      </c>
      <c r="T15" s="3">
        <v>2033</v>
      </c>
      <c r="U15" s="3">
        <v>2034</v>
      </c>
      <c r="V15" s="3">
        <v>2035</v>
      </c>
      <c r="W15" s="3">
        <v>2036</v>
      </c>
      <c r="X15" s="3">
        <v>2037</v>
      </c>
      <c r="Y15" s="3">
        <v>2038</v>
      </c>
      <c r="Z15" s="3">
        <v>2039</v>
      </c>
      <c r="AA15" s="3">
        <v>2040</v>
      </c>
    </row>
    <row r="16" spans="1:65">
      <c r="A16" t="s">
        <v>401</v>
      </c>
      <c r="F16" s="38">
        <f>+'Flujo Caja'!G102</f>
        <v>112235.584353</v>
      </c>
    </row>
    <row r="17" spans="1:6">
      <c r="A17" t="s">
        <v>409</v>
      </c>
      <c r="F17" s="38">
        <f>+'Flujo Caja'!G117</f>
        <v>146584.31625500001</v>
      </c>
    </row>
    <row r="18" spans="1:6">
      <c r="A18" t="s">
        <v>410</v>
      </c>
      <c r="F18" s="3">
        <f>+'Flujo Caja'!G64</f>
        <v>0</v>
      </c>
    </row>
    <row r="19" spans="1:6">
      <c r="A19" t="s">
        <v>411</v>
      </c>
      <c r="F19" s="38">
        <f>+'Flujo Caja'!G118</f>
        <v>17714.132283749997</v>
      </c>
    </row>
    <row r="20" spans="1:6">
      <c r="A20" t="s">
        <v>277</v>
      </c>
    </row>
    <row r="22" spans="1:6">
      <c r="B22" t="s">
        <v>382</v>
      </c>
    </row>
    <row r="24" spans="1:6">
      <c r="B24" t="s">
        <v>383</v>
      </c>
      <c r="C24" s="1">
        <v>0.7</v>
      </c>
      <c r="D24" s="202">
        <v>1</v>
      </c>
      <c r="E24" t="s">
        <v>415</v>
      </c>
    </row>
    <row r="25" spans="1:6">
      <c r="C25" s="1">
        <v>0.8</v>
      </c>
    </row>
    <row r="26" spans="1:6">
      <c r="C26" s="1">
        <v>0.9</v>
      </c>
    </row>
    <row r="27" spans="1:6">
      <c r="C27" s="1">
        <v>1</v>
      </c>
    </row>
    <row r="28" spans="1:6">
      <c r="C28" s="1">
        <v>1.1000000000000001</v>
      </c>
    </row>
    <row r="29" spans="1:6">
      <c r="C29" s="1">
        <v>1.2</v>
      </c>
    </row>
    <row r="30" spans="1:6">
      <c r="C30" s="1">
        <v>1.3</v>
      </c>
    </row>
    <row r="31" spans="1:6">
      <c r="B31" t="s">
        <v>384</v>
      </c>
      <c r="C31" s="1">
        <v>0.7</v>
      </c>
      <c r="D31" s="202">
        <v>1</v>
      </c>
      <c r="E31" t="s">
        <v>415</v>
      </c>
    </row>
    <row r="32" spans="1:6">
      <c r="C32" s="1">
        <v>0.8</v>
      </c>
    </row>
    <row r="33" spans="2:10">
      <c r="C33" s="1">
        <v>0.9</v>
      </c>
    </row>
    <row r="34" spans="2:10">
      <c r="C34" s="1">
        <v>1</v>
      </c>
    </row>
    <row r="35" spans="2:10">
      <c r="C35" s="1">
        <v>1.1000000000000001</v>
      </c>
    </row>
    <row r="36" spans="2:10">
      <c r="C36" s="1">
        <v>1.2</v>
      </c>
    </row>
    <row r="37" spans="2:10">
      <c r="C37" s="1">
        <v>1.3</v>
      </c>
    </row>
    <row r="38" spans="2:10">
      <c r="B38" t="s">
        <v>385</v>
      </c>
      <c r="C38" t="s">
        <v>36</v>
      </c>
      <c r="D38" s="169" t="str">
        <f>+C39</f>
        <v>IBR</v>
      </c>
      <c r="E38" t="s">
        <v>415</v>
      </c>
      <c r="F38" t="s">
        <v>642</v>
      </c>
    </row>
    <row r="39" spans="2:10">
      <c r="C39" t="s">
        <v>636</v>
      </c>
      <c r="F39" t="s">
        <v>643</v>
      </c>
    </row>
    <row r="40" spans="2:10">
      <c r="C40" t="s">
        <v>637</v>
      </c>
      <c r="F40" t="s">
        <v>644</v>
      </c>
    </row>
    <row r="41" spans="2:10">
      <c r="C41" t="s">
        <v>638</v>
      </c>
      <c r="F41" t="s">
        <v>645</v>
      </c>
    </row>
    <row r="42" spans="2:10">
      <c r="C42" t="s">
        <v>639</v>
      </c>
    </row>
    <row r="43" spans="2:10">
      <c r="B43" t="s">
        <v>386</v>
      </c>
      <c r="C43" s="1">
        <f>+C24</f>
        <v>0.7</v>
      </c>
      <c r="D43" s="202">
        <v>1</v>
      </c>
      <c r="E43" t="s">
        <v>415</v>
      </c>
    </row>
    <row r="44" spans="2:10">
      <c r="C44" s="1">
        <f t="shared" ref="C44:C49" si="0">+C25</f>
        <v>0.8</v>
      </c>
    </row>
    <row r="45" spans="2:10">
      <c r="C45" s="1">
        <f t="shared" si="0"/>
        <v>0.9</v>
      </c>
      <c r="F45" s="3"/>
      <c r="G45" s="3"/>
      <c r="H45" s="3"/>
      <c r="I45" s="3"/>
      <c r="J45" s="3"/>
    </row>
    <row r="46" spans="2:10">
      <c r="C46" s="1">
        <f t="shared" si="0"/>
        <v>1</v>
      </c>
    </row>
    <row r="47" spans="2:10">
      <c r="C47" s="1">
        <f t="shared" si="0"/>
        <v>1.1000000000000001</v>
      </c>
    </row>
    <row r="48" spans="2:10">
      <c r="C48" s="1">
        <f t="shared" si="0"/>
        <v>1.2</v>
      </c>
    </row>
    <row r="49" spans="2:5">
      <c r="C49" s="1">
        <f t="shared" si="0"/>
        <v>1.3</v>
      </c>
    </row>
    <row r="50" spans="2:5">
      <c r="B50" t="s">
        <v>390</v>
      </c>
      <c r="C50" s="1">
        <f>+C43</f>
        <v>0.7</v>
      </c>
      <c r="D50" s="202">
        <v>1</v>
      </c>
    </row>
    <row r="51" spans="2:5">
      <c r="B51" t="s">
        <v>416</v>
      </c>
      <c r="C51" s="1">
        <f>+C44</f>
        <v>0.8</v>
      </c>
    </row>
    <row r="52" spans="2:5">
      <c r="C52" s="1">
        <f t="shared" ref="C52:C63" si="1">+C45</f>
        <v>0.9</v>
      </c>
    </row>
    <row r="53" spans="2:5">
      <c r="C53" s="1">
        <f t="shared" si="1"/>
        <v>1</v>
      </c>
    </row>
    <row r="54" spans="2:5">
      <c r="C54" s="1">
        <f t="shared" si="1"/>
        <v>1.1000000000000001</v>
      </c>
    </row>
    <row r="55" spans="2:5">
      <c r="C55" s="1">
        <f t="shared" si="1"/>
        <v>1.2</v>
      </c>
    </row>
    <row r="56" spans="2:5">
      <c r="C56" s="1">
        <f t="shared" si="1"/>
        <v>1.3</v>
      </c>
    </row>
    <row r="57" spans="2:5">
      <c r="B57" t="s">
        <v>389</v>
      </c>
      <c r="C57" s="1">
        <f t="shared" si="1"/>
        <v>0.7</v>
      </c>
      <c r="D57" s="202">
        <v>1</v>
      </c>
      <c r="E57" t="s">
        <v>415</v>
      </c>
    </row>
    <row r="58" spans="2:5">
      <c r="B58" t="s">
        <v>416</v>
      </c>
      <c r="C58" s="1">
        <f t="shared" si="1"/>
        <v>0.8</v>
      </c>
    </row>
    <row r="59" spans="2:5">
      <c r="C59" s="1">
        <f t="shared" si="1"/>
        <v>0.9</v>
      </c>
    </row>
    <row r="60" spans="2:5">
      <c r="C60" s="1">
        <f t="shared" si="1"/>
        <v>1</v>
      </c>
    </row>
    <row r="61" spans="2:5">
      <c r="C61" s="1">
        <f t="shared" si="1"/>
        <v>1.1000000000000001</v>
      </c>
    </row>
    <row r="62" spans="2:5">
      <c r="C62" s="1">
        <f t="shared" si="1"/>
        <v>1.2</v>
      </c>
    </row>
    <row r="63" spans="2:5">
      <c r="C63" s="1">
        <f t="shared" si="1"/>
        <v>1.3</v>
      </c>
    </row>
    <row r="64" spans="2:5">
      <c r="C64" t="s">
        <v>375</v>
      </c>
      <c r="D64" s="169" t="str">
        <f>+C64</f>
        <v>No</v>
      </c>
    </row>
    <row r="65" spans="2:3">
      <c r="C65" t="s">
        <v>374</v>
      </c>
    </row>
    <row r="68" spans="2:3">
      <c r="B68" t="s">
        <v>556</v>
      </c>
      <c r="C68" s="82">
        <v>2020</v>
      </c>
    </row>
    <row r="69" spans="2:3">
      <c r="B69">
        <v>2020</v>
      </c>
    </row>
    <row r="70" spans="2:3">
      <c r="B70">
        <v>2021</v>
      </c>
    </row>
    <row r="71" spans="2:3">
      <c r="B71">
        <v>2022</v>
      </c>
    </row>
    <row r="133" spans="4:8">
      <c r="D133" s="38"/>
      <c r="E133" s="38"/>
      <c r="F133" s="38"/>
      <c r="G133" s="38"/>
      <c r="H133" s="38"/>
    </row>
    <row r="135" spans="4:8">
      <c r="D135" s="38"/>
      <c r="E135" s="38"/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BK194"/>
  <sheetViews>
    <sheetView topLeftCell="A29" zoomScale="150" zoomScaleNormal="150" zoomScalePageLayoutView="150" workbookViewId="0">
      <selection activeCell="F42" sqref="F42"/>
    </sheetView>
  </sheetViews>
  <sheetFormatPr baseColWidth="10" defaultRowHeight="16"/>
  <cols>
    <col min="3" max="3" width="12.1640625" bestFit="1" customWidth="1"/>
    <col min="4" max="4" width="28.33203125" customWidth="1"/>
    <col min="5" max="5" width="19.33203125" bestFit="1" customWidth="1"/>
    <col min="6" max="6" width="10.33203125" customWidth="1"/>
    <col min="7" max="7" width="13.1640625" bestFit="1" customWidth="1"/>
    <col min="8" max="8" width="9.1640625" customWidth="1"/>
    <col min="9" max="9" width="18.33203125" customWidth="1"/>
    <col min="10" max="10" width="11.6640625" bestFit="1" customWidth="1"/>
    <col min="12" max="12" width="10" customWidth="1"/>
    <col min="16" max="16" width="9.33203125" customWidth="1"/>
  </cols>
  <sheetData>
    <row r="2" spans="1:63" ht="21">
      <c r="A2" s="356" t="s">
        <v>628</v>
      </c>
      <c r="B2" s="356"/>
      <c r="C2" s="356"/>
      <c r="D2" s="356"/>
      <c r="E2" s="356"/>
      <c r="F2" s="356"/>
      <c r="G2" s="220"/>
      <c r="H2" s="220"/>
      <c r="I2" s="220"/>
    </row>
    <row r="4" spans="1:63">
      <c r="C4">
        <v>130000</v>
      </c>
    </row>
    <row r="5" spans="1:63">
      <c r="C5">
        <f>+C4/3300</f>
        <v>39.393939393939391</v>
      </c>
    </row>
    <row r="6" spans="1:63">
      <c r="C6">
        <v>40</v>
      </c>
    </row>
    <row r="7" spans="1:63">
      <c r="B7" s="13">
        <v>7.4999999999999997E-2</v>
      </c>
      <c r="C7" s="73">
        <f>+B7*C6</f>
        <v>3</v>
      </c>
      <c r="F7">
        <f>48*420</f>
        <v>20160</v>
      </c>
    </row>
    <row r="8" spans="1:63">
      <c r="F8">
        <f>+F7/130</f>
        <v>155.07692307692307</v>
      </c>
    </row>
    <row r="9" spans="1:63">
      <c r="F9">
        <f>+F8/12</f>
        <v>12.923076923076922</v>
      </c>
    </row>
    <row r="12" spans="1:63">
      <c r="D12" s="207">
        <f>+NPV(0.15,E12:BK12)</f>
        <v>34836.670697047128</v>
      </c>
      <c r="E12">
        <v>3500</v>
      </c>
      <c r="F12">
        <f>+E12*1.05</f>
        <v>3675</v>
      </c>
      <c r="G12">
        <f t="shared" ref="G12:BK12" si="0">+F12*1.05</f>
        <v>3858.75</v>
      </c>
      <c r="H12">
        <f t="shared" si="0"/>
        <v>4051.6875</v>
      </c>
      <c r="I12">
        <f t="shared" si="0"/>
        <v>4254.2718750000004</v>
      </c>
      <c r="J12">
        <f t="shared" si="0"/>
        <v>4466.985468750001</v>
      </c>
      <c r="K12">
        <f t="shared" si="0"/>
        <v>4690.3347421875014</v>
      </c>
      <c r="L12">
        <f t="shared" si="0"/>
        <v>4924.8514792968763</v>
      </c>
      <c r="M12">
        <f t="shared" si="0"/>
        <v>5171.0940532617205</v>
      </c>
      <c r="N12">
        <f t="shared" si="0"/>
        <v>5429.6487559248071</v>
      </c>
      <c r="O12">
        <f t="shared" si="0"/>
        <v>5701.1311937210476</v>
      </c>
      <c r="P12">
        <f t="shared" si="0"/>
        <v>5986.1877534071</v>
      </c>
      <c r="Q12">
        <f t="shared" si="0"/>
        <v>6285.4971410774551</v>
      </c>
      <c r="R12">
        <f t="shared" si="0"/>
        <v>6599.7719981313285</v>
      </c>
      <c r="S12">
        <f t="shared" si="0"/>
        <v>6929.7605980378949</v>
      </c>
      <c r="T12">
        <f t="shared" si="0"/>
        <v>7276.2486279397899</v>
      </c>
      <c r="U12">
        <f t="shared" si="0"/>
        <v>7640.0610593367801</v>
      </c>
      <c r="V12">
        <f t="shared" si="0"/>
        <v>8022.0641123036194</v>
      </c>
      <c r="W12">
        <f t="shared" si="0"/>
        <v>8423.1673179188001</v>
      </c>
      <c r="X12">
        <f t="shared" si="0"/>
        <v>8844.3256838147408</v>
      </c>
      <c r="Y12">
        <f t="shared" si="0"/>
        <v>9286.5419680054783</v>
      </c>
      <c r="Z12">
        <f t="shared" si="0"/>
        <v>9750.8690664057522</v>
      </c>
      <c r="AA12">
        <f t="shared" si="0"/>
        <v>10238.41251972604</v>
      </c>
      <c r="AB12">
        <f t="shared" si="0"/>
        <v>10750.333145712342</v>
      </c>
      <c r="AC12">
        <f t="shared" si="0"/>
        <v>11287.84980299796</v>
      </c>
      <c r="AD12">
        <f t="shared" si="0"/>
        <v>11852.242293147858</v>
      </c>
      <c r="AE12">
        <f t="shared" si="0"/>
        <v>12444.854407805251</v>
      </c>
      <c r="AF12">
        <f t="shared" si="0"/>
        <v>13067.097128195514</v>
      </c>
      <c r="AG12">
        <f t="shared" si="0"/>
        <v>13720.45198460529</v>
      </c>
      <c r="AH12">
        <f t="shared" si="0"/>
        <v>14406.474583835556</v>
      </c>
      <c r="AI12">
        <f t="shared" si="0"/>
        <v>15126.798313027333</v>
      </c>
      <c r="AJ12">
        <f t="shared" si="0"/>
        <v>15883.138228678701</v>
      </c>
      <c r="AK12">
        <f t="shared" si="0"/>
        <v>16677.295140112637</v>
      </c>
      <c r="AL12">
        <f t="shared" si="0"/>
        <v>17511.159897118268</v>
      </c>
      <c r="AM12">
        <f t="shared" si="0"/>
        <v>18386.717891974182</v>
      </c>
      <c r="AN12">
        <f t="shared" si="0"/>
        <v>19306.053786572891</v>
      </c>
      <c r="AO12">
        <f t="shared" si="0"/>
        <v>20271.356475901535</v>
      </c>
      <c r="AP12">
        <f t="shared" si="0"/>
        <v>21284.924299696613</v>
      </c>
      <c r="AQ12">
        <f t="shared" si="0"/>
        <v>22349.170514681446</v>
      </c>
      <c r="AR12">
        <f t="shared" si="0"/>
        <v>23466.629040415519</v>
      </c>
      <c r="AS12">
        <f t="shared" si="0"/>
        <v>24639.960492436297</v>
      </c>
      <c r="AT12">
        <f t="shared" si="0"/>
        <v>25871.958517058112</v>
      </c>
      <c r="AU12">
        <f t="shared" si="0"/>
        <v>27165.55644291102</v>
      </c>
      <c r="AV12">
        <f t="shared" si="0"/>
        <v>28523.834265056572</v>
      </c>
      <c r="AW12">
        <f t="shared" si="0"/>
        <v>29950.025978309401</v>
      </c>
      <c r="AX12">
        <f t="shared" si="0"/>
        <v>31447.527277224872</v>
      </c>
      <c r="AY12">
        <f t="shared" si="0"/>
        <v>33019.903641086115</v>
      </c>
      <c r="AZ12">
        <f t="shared" si="0"/>
        <v>34670.898823140422</v>
      </c>
      <c r="BA12">
        <f t="shared" si="0"/>
        <v>36404.443764297444</v>
      </c>
      <c r="BB12">
        <f t="shared" si="0"/>
        <v>38224.665952512318</v>
      </c>
      <c r="BC12">
        <f t="shared" si="0"/>
        <v>40135.899250137933</v>
      </c>
      <c r="BD12">
        <f t="shared" si="0"/>
        <v>42142.694212644834</v>
      </c>
      <c r="BE12">
        <f t="shared" si="0"/>
        <v>44249.828923277077</v>
      </c>
      <c r="BF12">
        <f t="shared" si="0"/>
        <v>46462.320369440931</v>
      </c>
      <c r="BG12">
        <f t="shared" si="0"/>
        <v>48785.436387912981</v>
      </c>
      <c r="BH12">
        <f t="shared" si="0"/>
        <v>51224.708207308635</v>
      </c>
      <c r="BI12">
        <f t="shared" si="0"/>
        <v>53785.943617674071</v>
      </c>
      <c r="BJ12">
        <f t="shared" si="0"/>
        <v>56475.240798557774</v>
      </c>
      <c r="BK12">
        <f t="shared" si="0"/>
        <v>59299.002838485663</v>
      </c>
    </row>
    <row r="14" spans="1:63">
      <c r="C14" t="s">
        <v>2</v>
      </c>
      <c r="D14">
        <v>20000</v>
      </c>
      <c r="G14">
        <f>+D14</f>
        <v>20000</v>
      </c>
      <c r="I14">
        <f>+D14*12</f>
        <v>240000</v>
      </c>
      <c r="J14">
        <f>+I14</f>
        <v>240000</v>
      </c>
    </row>
    <row r="15" spans="1:63">
      <c r="C15" t="s">
        <v>360</v>
      </c>
      <c r="D15">
        <f>+D14*0.6</f>
        <v>12000</v>
      </c>
      <c r="G15">
        <v>9000</v>
      </c>
      <c r="I15">
        <f>+D15*12</f>
        <v>144000</v>
      </c>
      <c r="J15">
        <f>+I15</f>
        <v>144000</v>
      </c>
      <c r="L15">
        <f>+J15*0.05</f>
        <v>7200</v>
      </c>
    </row>
    <row r="16" spans="1:63">
      <c r="A16">
        <f>+B16/365</f>
        <v>5.4794520547945202E-2</v>
      </c>
      <c r="B16">
        <v>20</v>
      </c>
      <c r="C16" t="s">
        <v>361</v>
      </c>
      <c r="D16">
        <f>+D15/30*B16</f>
        <v>8000</v>
      </c>
      <c r="E16">
        <f>+B16</f>
        <v>20</v>
      </c>
      <c r="G16">
        <f>+G15/30*E16</f>
        <v>6000</v>
      </c>
      <c r="I16">
        <f>+D16</f>
        <v>8000</v>
      </c>
      <c r="J16">
        <f>+I16</f>
        <v>8000</v>
      </c>
    </row>
    <row r="17" spans="1:13">
      <c r="A17">
        <f>+B17/365</f>
        <v>0.1095890410958904</v>
      </c>
      <c r="B17">
        <v>40</v>
      </c>
      <c r="C17" t="s">
        <v>362</v>
      </c>
      <c r="D17">
        <f>+D14*B17/30</f>
        <v>26666.666666666668</v>
      </c>
      <c r="E17">
        <f>+B17</f>
        <v>40</v>
      </c>
      <c r="G17">
        <f>+G14*E17/30</f>
        <v>26666.666666666668</v>
      </c>
      <c r="I17">
        <f>+D17</f>
        <v>26666.666666666668</v>
      </c>
      <c r="J17">
        <f>+I17</f>
        <v>26666.666666666668</v>
      </c>
    </row>
    <row r="18" spans="1:13">
      <c r="A18">
        <f>+B18/365</f>
        <v>6.8493150684931503E-2</v>
      </c>
      <c r="B18">
        <v>25</v>
      </c>
      <c r="C18" t="s">
        <v>363</v>
      </c>
      <c r="D18">
        <f>+D15/30*B18</f>
        <v>10000</v>
      </c>
      <c r="E18">
        <v>90</v>
      </c>
      <c r="G18">
        <f>+G15/30*E18</f>
        <v>27000</v>
      </c>
      <c r="I18">
        <f>+D18</f>
        <v>10000</v>
      </c>
      <c r="J18">
        <f>+G18</f>
        <v>27000</v>
      </c>
    </row>
    <row r="19" spans="1:13">
      <c r="A19">
        <f>+B19/365</f>
        <v>9.5890410958904104E-2</v>
      </c>
      <c r="B19">
        <f>+B17+B16-B18</f>
        <v>35</v>
      </c>
      <c r="C19" t="s">
        <v>365</v>
      </c>
      <c r="D19">
        <f>+D16+D17-D18</f>
        <v>24666.666666666672</v>
      </c>
      <c r="E19">
        <f>+E17+E16-E18</f>
        <v>-30</v>
      </c>
      <c r="G19">
        <f>+G16+G17-G18</f>
        <v>5666.6666666666679</v>
      </c>
      <c r="I19">
        <f>+I16+I17-I18</f>
        <v>24666.666666666672</v>
      </c>
      <c r="J19">
        <f>+J16+J17-J18</f>
        <v>7666.6666666666715</v>
      </c>
    </row>
    <row r="20" spans="1:13">
      <c r="H20" t="s">
        <v>366</v>
      </c>
      <c r="I20" s="202">
        <v>0.05</v>
      </c>
      <c r="J20">
        <f>+I20*J15</f>
        <v>7200</v>
      </c>
    </row>
    <row r="21" spans="1:13">
      <c r="I21">
        <f>+I19</f>
        <v>24666.666666666672</v>
      </c>
      <c r="J21">
        <f>+J20+J19</f>
        <v>14866.666666666672</v>
      </c>
    </row>
    <row r="22" spans="1:13">
      <c r="H22" t="s">
        <v>367</v>
      </c>
      <c r="I22" s="58">
        <f>+I21/I14</f>
        <v>0.1027777777777778</v>
      </c>
      <c r="J22" s="58">
        <f>+J21/J14</f>
        <v>6.1944444444444462E-2</v>
      </c>
    </row>
    <row r="24" spans="1:13">
      <c r="B24" s="1">
        <v>0.14000000000000001</v>
      </c>
      <c r="C24" s="207">
        <f>+NPV(B24,C26:C36)</f>
        <v>25.318059314493098</v>
      </c>
      <c r="I24" t="s">
        <v>364</v>
      </c>
      <c r="J24">
        <f>+I19-J19</f>
        <v>17000</v>
      </c>
    </row>
    <row r="25" spans="1:13">
      <c r="J25">
        <f>+J24/J15</f>
        <v>0.11805555555555555</v>
      </c>
    </row>
    <row r="26" spans="1:13">
      <c r="B26">
        <v>1</v>
      </c>
      <c r="C26">
        <v>0</v>
      </c>
    </row>
    <row r="27" spans="1:13">
      <c r="B27">
        <v>2</v>
      </c>
      <c r="C27">
        <v>0</v>
      </c>
    </row>
    <row r="28" spans="1:13">
      <c r="B28">
        <v>3</v>
      </c>
      <c r="C28">
        <v>0</v>
      </c>
    </row>
    <row r="29" spans="1:13">
      <c r="B29">
        <v>4</v>
      </c>
      <c r="C29">
        <v>0</v>
      </c>
    </row>
    <row r="30" spans="1:13">
      <c r="B30">
        <v>5</v>
      </c>
      <c r="C30">
        <v>0</v>
      </c>
    </row>
    <row r="31" spans="1:13">
      <c r="B31">
        <v>6</v>
      </c>
      <c r="C31">
        <v>0</v>
      </c>
    </row>
    <row r="32" spans="1:13">
      <c r="B32">
        <v>7</v>
      </c>
      <c r="C32">
        <v>0</v>
      </c>
      <c r="M32">
        <f>16/25</f>
        <v>0.64</v>
      </c>
    </row>
    <row r="33" spans="2:9">
      <c r="B33">
        <v>8</v>
      </c>
      <c r="C33">
        <v>0</v>
      </c>
    </row>
    <row r="34" spans="2:9">
      <c r="B34">
        <v>9</v>
      </c>
      <c r="C34">
        <v>0</v>
      </c>
    </row>
    <row r="35" spans="2:9">
      <c r="B35">
        <v>10</v>
      </c>
      <c r="C35">
        <v>50</v>
      </c>
      <c r="F35">
        <v>120</v>
      </c>
      <c r="G35">
        <v>350</v>
      </c>
    </row>
    <row r="36" spans="2:9">
      <c r="B36">
        <v>11</v>
      </c>
      <c r="C36">
        <v>50</v>
      </c>
      <c r="G36">
        <f>+G35/F35</f>
        <v>2.9166666666666665</v>
      </c>
    </row>
    <row r="40" spans="2:9">
      <c r="F40" t="s">
        <v>732</v>
      </c>
      <c r="G40" t="s">
        <v>738</v>
      </c>
    </row>
    <row r="41" spans="2:9">
      <c r="E41" t="s">
        <v>426</v>
      </c>
      <c r="F41" s="2">
        <v>25397.382494000001</v>
      </c>
      <c r="G41" s="2">
        <f>+'Flujo Caja'!C110</f>
        <v>91840.640757318979</v>
      </c>
    </row>
    <row r="42" spans="2:9">
      <c r="E42" t="s">
        <v>427</v>
      </c>
      <c r="F42" s="2">
        <f>+G41+G42-F41</f>
        <v>86838.201858999993</v>
      </c>
      <c r="G42" s="2">
        <f>+Proyecciones!C98/1000000</f>
        <v>20394.943595681016</v>
      </c>
    </row>
    <row r="48" spans="2:9">
      <c r="D48" t="s">
        <v>7</v>
      </c>
      <c r="E48" t="s">
        <v>428</v>
      </c>
      <c r="F48" t="s">
        <v>429</v>
      </c>
      <c r="G48" t="s">
        <v>6</v>
      </c>
      <c r="H48" t="s">
        <v>8</v>
      </c>
      <c r="I48" t="s">
        <v>430</v>
      </c>
    </row>
    <row r="49" spans="3:9">
      <c r="C49" s="228" t="s">
        <v>431</v>
      </c>
      <c r="D49" t="s">
        <v>446</v>
      </c>
      <c r="E49" t="s">
        <v>446</v>
      </c>
      <c r="F49" t="s">
        <v>446</v>
      </c>
      <c r="G49" t="s">
        <v>446</v>
      </c>
      <c r="H49" t="s">
        <v>446</v>
      </c>
    </row>
    <row r="50" spans="3:9">
      <c r="C50" s="228" t="s">
        <v>432</v>
      </c>
      <c r="D50" t="s">
        <v>446</v>
      </c>
      <c r="E50" t="s">
        <v>446</v>
      </c>
      <c r="F50" t="s">
        <v>446</v>
      </c>
      <c r="G50" t="s">
        <v>446</v>
      </c>
      <c r="H50" t="s">
        <v>446</v>
      </c>
      <c r="I50" t="s">
        <v>446</v>
      </c>
    </row>
    <row r="51" spans="3:9">
      <c r="C51" s="228" t="s">
        <v>433</v>
      </c>
      <c r="D51" t="s">
        <v>446</v>
      </c>
      <c r="E51" t="s">
        <v>446</v>
      </c>
      <c r="F51" t="s">
        <v>446</v>
      </c>
      <c r="G51" t="s">
        <v>446</v>
      </c>
      <c r="H51" t="s">
        <v>446</v>
      </c>
      <c r="I51" t="s">
        <v>446</v>
      </c>
    </row>
    <row r="52" spans="3:9">
      <c r="C52" s="228" t="s">
        <v>434</v>
      </c>
      <c r="D52" t="s">
        <v>446</v>
      </c>
      <c r="E52" t="s">
        <v>446</v>
      </c>
      <c r="G52" t="s">
        <v>446</v>
      </c>
      <c r="H52" t="s">
        <v>446</v>
      </c>
    </row>
    <row r="53" spans="3:9">
      <c r="C53" s="228" t="s">
        <v>435</v>
      </c>
      <c r="D53" t="s">
        <v>446</v>
      </c>
      <c r="E53" t="s">
        <v>446</v>
      </c>
      <c r="G53" t="s">
        <v>446</v>
      </c>
      <c r="H53" t="s">
        <v>446</v>
      </c>
    </row>
    <row r="54" spans="3:9" ht="29">
      <c r="C54" s="228" t="s">
        <v>436</v>
      </c>
      <c r="D54" t="s">
        <v>446</v>
      </c>
      <c r="E54" t="s">
        <v>446</v>
      </c>
      <c r="F54" t="s">
        <v>446</v>
      </c>
      <c r="G54" t="s">
        <v>446</v>
      </c>
      <c r="H54" t="s">
        <v>446</v>
      </c>
    </row>
    <row r="55" spans="3:9">
      <c r="C55" s="228" t="s">
        <v>437</v>
      </c>
      <c r="D55" t="s">
        <v>446</v>
      </c>
      <c r="E55" t="s">
        <v>446</v>
      </c>
      <c r="G55" t="s">
        <v>446</v>
      </c>
      <c r="H55" t="s">
        <v>446</v>
      </c>
    </row>
    <row r="56" spans="3:9" ht="29">
      <c r="C56" s="228" t="s">
        <v>438</v>
      </c>
      <c r="D56" t="s">
        <v>446</v>
      </c>
      <c r="E56" t="s">
        <v>446</v>
      </c>
      <c r="G56" t="s">
        <v>446</v>
      </c>
      <c r="H56" t="s">
        <v>446</v>
      </c>
    </row>
    <row r="57" spans="3:9" ht="56">
      <c r="C57" s="229" t="s">
        <v>439</v>
      </c>
      <c r="E57" t="s">
        <v>446</v>
      </c>
      <c r="G57" t="s">
        <v>446</v>
      </c>
      <c r="H57" t="s">
        <v>446</v>
      </c>
    </row>
    <row r="58" spans="3:9" ht="29">
      <c r="C58" s="228" t="s">
        <v>440</v>
      </c>
      <c r="D58" t="s">
        <v>446</v>
      </c>
      <c r="E58" t="s">
        <v>446</v>
      </c>
      <c r="G58" t="s">
        <v>446</v>
      </c>
      <c r="H58" t="s">
        <v>446</v>
      </c>
    </row>
    <row r="59" spans="3:9" ht="28">
      <c r="C59" s="229" t="s">
        <v>441</v>
      </c>
      <c r="E59" t="s">
        <v>446</v>
      </c>
      <c r="G59" t="s">
        <v>446</v>
      </c>
      <c r="H59" t="s">
        <v>446</v>
      </c>
      <c r="I59" t="s">
        <v>446</v>
      </c>
    </row>
    <row r="60" spans="3:9" ht="28">
      <c r="C60" s="229" t="s">
        <v>442</v>
      </c>
      <c r="D60" t="s">
        <v>446</v>
      </c>
      <c r="E60" t="s">
        <v>446</v>
      </c>
      <c r="G60" t="s">
        <v>446</v>
      </c>
      <c r="H60" t="s">
        <v>446</v>
      </c>
    </row>
    <row r="61" spans="3:9">
      <c r="C61" s="229" t="s">
        <v>443</v>
      </c>
      <c r="E61" t="s">
        <v>446</v>
      </c>
      <c r="G61" t="s">
        <v>446</v>
      </c>
      <c r="H61" t="s">
        <v>446</v>
      </c>
    </row>
    <row r="62" spans="3:9" ht="28">
      <c r="C62" s="229" t="s">
        <v>444</v>
      </c>
      <c r="E62" t="s">
        <v>446</v>
      </c>
      <c r="G62" t="s">
        <v>446</v>
      </c>
      <c r="H62" t="s">
        <v>446</v>
      </c>
    </row>
    <row r="63" spans="3:9" ht="28">
      <c r="C63" s="229" t="s">
        <v>445</v>
      </c>
      <c r="D63" t="s">
        <v>446</v>
      </c>
      <c r="E63" t="s">
        <v>446</v>
      </c>
      <c r="G63" t="s">
        <v>446</v>
      </c>
      <c r="H63" t="s">
        <v>446</v>
      </c>
    </row>
    <row r="70" spans="3:18">
      <c r="C70" s="399" t="s">
        <v>447</v>
      </c>
      <c r="D70" s="399" t="s">
        <v>448</v>
      </c>
      <c r="E70" s="399" t="s">
        <v>449</v>
      </c>
      <c r="F70" s="399"/>
      <c r="G70" s="399"/>
      <c r="H70" s="230"/>
      <c r="I70" s="403"/>
      <c r="L70" s="399" t="s">
        <v>447</v>
      </c>
      <c r="M70" s="399" t="s">
        <v>448</v>
      </c>
      <c r="N70" s="399" t="s">
        <v>449</v>
      </c>
      <c r="O70" s="399" t="s">
        <v>450</v>
      </c>
      <c r="P70" s="399" t="s">
        <v>451</v>
      </c>
      <c r="Q70" s="230" t="s">
        <v>452</v>
      </c>
      <c r="R70" s="403" t="s">
        <v>454</v>
      </c>
    </row>
    <row r="71" spans="3:18" ht="53" thickBot="1">
      <c r="C71" s="400"/>
      <c r="D71" s="400"/>
      <c r="E71" s="400"/>
      <c r="F71" s="400"/>
      <c r="G71" s="400"/>
      <c r="H71" s="231"/>
      <c r="I71" s="404"/>
      <c r="L71" s="400"/>
      <c r="M71" s="400"/>
      <c r="N71" s="400"/>
      <c r="O71" s="400"/>
      <c r="P71" s="400"/>
      <c r="Q71" s="231" t="s">
        <v>453</v>
      </c>
      <c r="R71" s="404"/>
    </row>
    <row r="72" spans="3:18" ht="17" thickBot="1">
      <c r="C72" s="232">
        <v>43741108</v>
      </c>
      <c r="D72" s="233" t="s">
        <v>455</v>
      </c>
      <c r="E72" s="234">
        <v>5989075</v>
      </c>
      <c r="F72" s="234"/>
      <c r="G72" s="235"/>
      <c r="H72" s="233"/>
      <c r="I72" s="236"/>
      <c r="L72" s="232">
        <v>43741108</v>
      </c>
      <c r="M72" s="233" t="s">
        <v>455</v>
      </c>
      <c r="N72" s="234">
        <v>5989075</v>
      </c>
      <c r="O72" s="234">
        <v>197639475</v>
      </c>
      <c r="P72" s="235">
        <v>5.3900000000000003E-2</v>
      </c>
      <c r="Q72" s="233" t="s">
        <v>456</v>
      </c>
      <c r="R72" s="236">
        <v>5.3900000000000003E-2</v>
      </c>
    </row>
    <row r="73" spans="3:18" ht="17" thickBot="1">
      <c r="C73" s="232">
        <v>71754007</v>
      </c>
      <c r="D73" s="233" t="s">
        <v>457</v>
      </c>
      <c r="E73" s="234">
        <v>5989075</v>
      </c>
      <c r="F73" s="234"/>
      <c r="G73" s="235"/>
      <c r="H73" s="233"/>
      <c r="I73" s="236"/>
      <c r="L73" s="232">
        <v>71754007</v>
      </c>
      <c r="M73" s="233" t="s">
        <v>457</v>
      </c>
      <c r="N73" s="234">
        <v>5989075</v>
      </c>
      <c r="O73" s="234">
        <v>197639475</v>
      </c>
      <c r="P73" s="235">
        <v>5.3900000000000003E-2</v>
      </c>
      <c r="Q73" s="233" t="s">
        <v>458</v>
      </c>
      <c r="R73" s="236">
        <v>5.3900000000000003E-2</v>
      </c>
    </row>
    <row r="74" spans="3:18" ht="17" thickBot="1">
      <c r="C74" s="232">
        <v>8213556</v>
      </c>
      <c r="D74" s="233" t="s">
        <v>459</v>
      </c>
      <c r="E74" s="234">
        <v>10850481</v>
      </c>
      <c r="F74" s="234"/>
      <c r="G74" s="235"/>
      <c r="H74" s="233"/>
      <c r="I74" s="236"/>
      <c r="L74" s="232">
        <v>8213556</v>
      </c>
      <c r="M74" s="233" t="s">
        <v>459</v>
      </c>
      <c r="N74" s="234">
        <v>10850481</v>
      </c>
      <c r="O74" s="234">
        <v>358065873</v>
      </c>
      <c r="P74" s="235">
        <v>9.7600000000000006E-2</v>
      </c>
      <c r="Q74" s="233" t="s">
        <v>456</v>
      </c>
      <c r="R74" s="236">
        <v>9.7600000000000006E-2</v>
      </c>
    </row>
    <row r="75" spans="3:18" ht="17" thickBot="1">
      <c r="C75" s="232">
        <v>32336978</v>
      </c>
      <c r="D75" s="233" t="s">
        <v>460</v>
      </c>
      <c r="E75" s="234">
        <v>9153428</v>
      </c>
      <c r="F75" s="234"/>
      <c r="G75" s="235"/>
      <c r="H75" s="233"/>
      <c r="I75" s="236"/>
      <c r="L75" s="232">
        <v>32336978</v>
      </c>
      <c r="M75" s="233" t="s">
        <v>460</v>
      </c>
      <c r="N75" s="234">
        <v>9153428</v>
      </c>
      <c r="O75" s="234">
        <v>302063124</v>
      </c>
      <c r="P75" s="235">
        <v>8.4699999999999998E-2</v>
      </c>
      <c r="Q75" s="233" t="s">
        <v>456</v>
      </c>
      <c r="R75" s="236">
        <v>8.4699999999999998E-2</v>
      </c>
    </row>
    <row r="76" spans="3:18" ht="17" thickBot="1">
      <c r="C76" s="232">
        <v>32492658</v>
      </c>
      <c r="D76" s="233" t="s">
        <v>461</v>
      </c>
      <c r="E76" s="234">
        <v>9153428</v>
      </c>
      <c r="F76" s="234"/>
      <c r="G76" s="235"/>
      <c r="H76" s="233"/>
      <c r="I76" s="236"/>
      <c r="L76" s="232">
        <v>32492658</v>
      </c>
      <c r="M76" s="233" t="s">
        <v>461</v>
      </c>
      <c r="N76" s="234">
        <v>9153428</v>
      </c>
      <c r="O76" s="234">
        <v>302063124</v>
      </c>
      <c r="P76" s="235">
        <v>8.4699999999999998E-2</v>
      </c>
      <c r="Q76" s="233" t="s">
        <v>456</v>
      </c>
      <c r="R76" s="236">
        <v>8.4699999999999998E-2</v>
      </c>
    </row>
    <row r="77" spans="3:18" ht="17" thickBot="1">
      <c r="C77" s="232">
        <v>8346811</v>
      </c>
      <c r="D77" s="233" t="s">
        <v>462</v>
      </c>
      <c r="E77" s="234">
        <v>9153428</v>
      </c>
      <c r="F77" s="234"/>
      <c r="G77" s="235"/>
      <c r="H77" s="233"/>
      <c r="I77" s="236"/>
      <c r="L77" s="232">
        <v>8346811</v>
      </c>
      <c r="M77" s="233" t="s">
        <v>462</v>
      </c>
      <c r="N77" s="234">
        <v>9153428</v>
      </c>
      <c r="O77" s="234">
        <v>302063124</v>
      </c>
      <c r="P77" s="235">
        <v>8.4699999999999998E-2</v>
      </c>
      <c r="Q77" s="233" t="s">
        <v>456</v>
      </c>
      <c r="R77" s="236">
        <v>8.4699999999999998E-2</v>
      </c>
    </row>
    <row r="78" spans="3:18" ht="17" thickBot="1">
      <c r="C78" s="232">
        <v>3309108</v>
      </c>
      <c r="D78" s="233" t="s">
        <v>463</v>
      </c>
      <c r="E78" s="234">
        <v>8475273</v>
      </c>
      <c r="F78" s="234"/>
      <c r="G78" s="235"/>
      <c r="H78" s="233"/>
      <c r="I78" s="236"/>
      <c r="L78" s="232">
        <v>3309108</v>
      </c>
      <c r="M78" s="233" t="s">
        <v>463</v>
      </c>
      <c r="N78" s="234">
        <v>8475273</v>
      </c>
      <c r="O78" s="234">
        <v>279684009</v>
      </c>
      <c r="P78" s="235">
        <v>7.6200000000000004E-2</v>
      </c>
      <c r="Q78" s="233" t="s">
        <v>458</v>
      </c>
      <c r="R78" s="236">
        <v>7.6200000000000004E-2</v>
      </c>
    </row>
    <row r="79" spans="3:18" ht="17" thickBot="1">
      <c r="C79" s="232">
        <v>8242524</v>
      </c>
      <c r="D79" s="233" t="s">
        <v>464</v>
      </c>
      <c r="E79" s="234">
        <v>5085607</v>
      </c>
      <c r="F79" s="234"/>
      <c r="G79" s="235"/>
      <c r="H79" s="233"/>
      <c r="I79" s="236"/>
      <c r="L79" s="232">
        <v>8242524</v>
      </c>
      <c r="M79" s="233" t="s">
        <v>464</v>
      </c>
      <c r="N79" s="234">
        <v>5085607</v>
      </c>
      <c r="O79" s="234">
        <v>167825031</v>
      </c>
      <c r="P79" s="235">
        <v>4.5699999999999998E-2</v>
      </c>
      <c r="Q79" s="233" t="s">
        <v>456</v>
      </c>
      <c r="R79" s="236">
        <v>4.5699999999999998E-2</v>
      </c>
    </row>
    <row r="80" spans="3:18" ht="17" thickBot="1">
      <c r="C80" s="232">
        <v>8285126</v>
      </c>
      <c r="D80" s="233" t="s">
        <v>465</v>
      </c>
      <c r="E80" s="234">
        <v>4632763</v>
      </c>
      <c r="F80" s="234"/>
      <c r="G80" s="235"/>
      <c r="H80" s="233"/>
      <c r="I80" s="236"/>
      <c r="L80" s="232">
        <v>8285126</v>
      </c>
      <c r="M80" s="233" t="s">
        <v>465</v>
      </c>
      <c r="N80" s="234">
        <v>4632763</v>
      </c>
      <c r="O80" s="234">
        <v>152881179</v>
      </c>
      <c r="P80" s="235">
        <v>4.1700000000000001E-2</v>
      </c>
      <c r="Q80" s="233" t="s">
        <v>456</v>
      </c>
      <c r="R80" s="236">
        <v>4.1700000000000001E-2</v>
      </c>
    </row>
    <row r="81" spans="3:18" ht="17" thickBot="1">
      <c r="C81" s="232">
        <v>42873681</v>
      </c>
      <c r="D81" s="233" t="s">
        <v>466</v>
      </c>
      <c r="E81" s="234">
        <v>3531178</v>
      </c>
      <c r="F81" s="234"/>
      <c r="G81" s="235"/>
      <c r="H81" s="233"/>
      <c r="I81" s="236"/>
      <c r="L81" s="232">
        <v>42873681</v>
      </c>
      <c r="M81" s="233" t="s">
        <v>466</v>
      </c>
      <c r="N81" s="234">
        <v>3531178</v>
      </c>
      <c r="O81" s="234">
        <v>116528874</v>
      </c>
      <c r="P81" s="235">
        <v>3.1800000000000002E-2</v>
      </c>
      <c r="Q81" s="233" t="s">
        <v>456</v>
      </c>
      <c r="R81" s="236">
        <v>3.1800000000000002E-2</v>
      </c>
    </row>
    <row r="82" spans="3:18" ht="17" thickBot="1">
      <c r="C82" s="232">
        <v>42878412</v>
      </c>
      <c r="D82" s="233" t="s">
        <v>467</v>
      </c>
      <c r="E82" s="234">
        <v>3531178</v>
      </c>
      <c r="F82" s="234"/>
      <c r="G82" s="235"/>
      <c r="H82" s="233"/>
      <c r="I82" s="236"/>
      <c r="L82" s="232">
        <v>42878412</v>
      </c>
      <c r="M82" s="233" t="s">
        <v>467</v>
      </c>
      <c r="N82" s="234">
        <v>3531178</v>
      </c>
      <c r="O82" s="234">
        <v>116528874</v>
      </c>
      <c r="P82" s="235">
        <v>3.1800000000000002E-2</v>
      </c>
      <c r="Q82" s="233" t="s">
        <v>456</v>
      </c>
      <c r="R82" s="236">
        <v>3.1800000000000002E-2</v>
      </c>
    </row>
    <row r="83" spans="3:18" ht="17" thickBot="1">
      <c r="C83" s="232">
        <v>39432350</v>
      </c>
      <c r="D83" s="233" t="s">
        <v>468</v>
      </c>
      <c r="E83" s="234">
        <v>3531178</v>
      </c>
      <c r="F83" s="234"/>
      <c r="G83" s="235"/>
      <c r="H83" s="233"/>
      <c r="I83" s="236"/>
      <c r="L83" s="232">
        <v>39432350</v>
      </c>
      <c r="M83" s="233" t="s">
        <v>468</v>
      </c>
      <c r="N83" s="234">
        <v>3531178</v>
      </c>
      <c r="O83" s="234">
        <v>116528874</v>
      </c>
      <c r="P83" s="235">
        <v>3.1800000000000002E-2</v>
      </c>
      <c r="Q83" s="233" t="s">
        <v>456</v>
      </c>
      <c r="R83" s="236">
        <v>3.1800000000000002E-2</v>
      </c>
    </row>
    <row r="84" spans="3:18" ht="17" thickBot="1">
      <c r="C84" s="232">
        <v>70067751</v>
      </c>
      <c r="D84" s="233" t="s">
        <v>469</v>
      </c>
      <c r="E84" s="234">
        <v>3531177</v>
      </c>
      <c r="F84" s="234"/>
      <c r="G84" s="235"/>
      <c r="H84" s="233"/>
      <c r="I84" s="236"/>
      <c r="L84" s="232">
        <v>70067751</v>
      </c>
      <c r="M84" s="233" t="s">
        <v>469</v>
      </c>
      <c r="N84" s="234">
        <v>3531177</v>
      </c>
      <c r="O84" s="234">
        <v>116528841</v>
      </c>
      <c r="P84" s="235">
        <v>3.1800000000000002E-2</v>
      </c>
      <c r="Q84" s="233" t="s">
        <v>456</v>
      </c>
      <c r="R84" s="236">
        <v>3.1800000000000002E-2</v>
      </c>
    </row>
    <row r="85" spans="3:18" ht="17" thickBot="1">
      <c r="C85" s="232">
        <v>15434311</v>
      </c>
      <c r="D85" s="233" t="s">
        <v>470</v>
      </c>
      <c r="E85" s="234">
        <v>3531177</v>
      </c>
      <c r="F85" s="234"/>
      <c r="G85" s="235"/>
      <c r="H85" s="233"/>
      <c r="I85" s="236"/>
      <c r="L85" s="232">
        <v>15434311</v>
      </c>
      <c r="M85" s="233" t="s">
        <v>470</v>
      </c>
      <c r="N85" s="234">
        <v>3531177</v>
      </c>
      <c r="O85" s="234">
        <v>116528841</v>
      </c>
      <c r="P85" s="235">
        <v>3.1800000000000002E-2</v>
      </c>
      <c r="Q85" s="233" t="s">
        <v>456</v>
      </c>
      <c r="R85" s="236">
        <v>3.1800000000000002E-2</v>
      </c>
    </row>
    <row r="86" spans="3:18" ht="17" thickBot="1">
      <c r="C86" s="232">
        <v>70562470</v>
      </c>
      <c r="D86" s="233" t="s">
        <v>471</v>
      </c>
      <c r="E86" s="234">
        <v>3531177</v>
      </c>
      <c r="F86" s="234"/>
      <c r="G86" s="235"/>
      <c r="H86" s="233"/>
      <c r="I86" s="236"/>
      <c r="L86" s="232">
        <v>70562470</v>
      </c>
      <c r="M86" s="233" t="s">
        <v>471</v>
      </c>
      <c r="N86" s="234">
        <v>3531177</v>
      </c>
      <c r="O86" s="234">
        <v>116528841</v>
      </c>
      <c r="P86" s="235">
        <v>3.1800000000000002E-2</v>
      </c>
      <c r="Q86" s="233" t="s">
        <v>456</v>
      </c>
      <c r="R86" s="236">
        <v>3.1800000000000002E-2</v>
      </c>
    </row>
    <row r="87" spans="3:18" ht="17" thickBot="1">
      <c r="C87" s="232">
        <v>43000407</v>
      </c>
      <c r="D87" s="233" t="s">
        <v>472</v>
      </c>
      <c r="E87" s="234">
        <v>3531177</v>
      </c>
      <c r="F87" s="234"/>
      <c r="G87" s="235"/>
      <c r="H87" s="233"/>
      <c r="I87" s="237"/>
      <c r="L87" s="232">
        <v>43000407</v>
      </c>
      <c r="M87" s="233" t="s">
        <v>472</v>
      </c>
      <c r="N87" s="234">
        <v>3531177</v>
      </c>
      <c r="O87" s="234">
        <v>116528841</v>
      </c>
      <c r="P87" s="235">
        <v>3.1800000000000002E-2</v>
      </c>
      <c r="Q87" s="233" t="s">
        <v>456</v>
      </c>
      <c r="R87" s="237"/>
    </row>
    <row r="88" spans="3:18" ht="17" thickBot="1">
      <c r="C88" s="232">
        <v>42981263</v>
      </c>
      <c r="D88" s="233" t="s">
        <v>473</v>
      </c>
      <c r="E88" s="234">
        <v>3531177</v>
      </c>
      <c r="F88" s="234"/>
      <c r="G88" s="235"/>
      <c r="H88" s="233"/>
      <c r="I88" s="236"/>
      <c r="L88" s="232">
        <v>42981263</v>
      </c>
      <c r="M88" s="233" t="s">
        <v>473</v>
      </c>
      <c r="N88" s="234">
        <v>3531177</v>
      </c>
      <c r="O88" s="234">
        <v>116528841</v>
      </c>
      <c r="P88" s="235">
        <v>3.1800000000000002E-2</v>
      </c>
      <c r="Q88" s="233" t="s">
        <v>456</v>
      </c>
      <c r="R88" s="236">
        <v>3.1800000000000002E-2</v>
      </c>
    </row>
    <row r="89" spans="3:18" ht="17" thickBot="1">
      <c r="C89" s="232">
        <v>890939950</v>
      </c>
      <c r="D89" s="233" t="s">
        <v>474</v>
      </c>
      <c r="E89" s="234">
        <v>3389664</v>
      </c>
      <c r="F89" s="234"/>
      <c r="G89" s="235"/>
      <c r="H89" s="233"/>
      <c r="I89" s="236"/>
      <c r="L89" s="232">
        <v>890939950</v>
      </c>
      <c r="M89" s="233" t="s">
        <v>474</v>
      </c>
      <c r="N89" s="234">
        <v>3389664</v>
      </c>
      <c r="O89" s="234">
        <v>111858912</v>
      </c>
      <c r="P89" s="235">
        <v>3.0499999999999999E-2</v>
      </c>
      <c r="Q89" s="233" t="s">
        <v>475</v>
      </c>
      <c r="R89" s="236">
        <v>3.0499999999999999E-2</v>
      </c>
    </row>
    <row r="90" spans="3:18" ht="17" thickBot="1">
      <c r="C90" s="232">
        <v>42884175</v>
      </c>
      <c r="D90" s="233" t="s">
        <v>476</v>
      </c>
      <c r="E90" s="234">
        <v>2118818</v>
      </c>
      <c r="F90" s="234"/>
      <c r="G90" s="235"/>
      <c r="H90" s="233"/>
      <c r="I90" s="236"/>
      <c r="L90" s="232">
        <v>42884175</v>
      </c>
      <c r="M90" s="233" t="s">
        <v>476</v>
      </c>
      <c r="N90" s="234">
        <v>2118818</v>
      </c>
      <c r="O90" s="234">
        <v>69920994</v>
      </c>
      <c r="P90" s="235">
        <v>1.9099999999999999E-2</v>
      </c>
      <c r="Q90" s="233" t="s">
        <v>458</v>
      </c>
      <c r="R90" s="236">
        <v>1.9099999999999999E-2</v>
      </c>
    </row>
    <row r="91" spans="3:18" ht="17" thickBot="1">
      <c r="C91" s="232">
        <v>43090910</v>
      </c>
      <c r="D91" s="233" t="s">
        <v>477</v>
      </c>
      <c r="E91" s="234">
        <v>2118818</v>
      </c>
      <c r="F91" s="234"/>
      <c r="G91" s="235"/>
      <c r="H91" s="233"/>
      <c r="I91" s="236"/>
      <c r="L91" s="232">
        <v>43090910</v>
      </c>
      <c r="M91" s="233" t="s">
        <v>477</v>
      </c>
      <c r="N91" s="234">
        <v>2118818</v>
      </c>
      <c r="O91" s="234">
        <v>69920994</v>
      </c>
      <c r="P91" s="235">
        <v>1.9099999999999999E-2</v>
      </c>
      <c r="Q91" s="233" t="s">
        <v>458</v>
      </c>
      <c r="R91" s="236">
        <v>1.9099999999999999E-2</v>
      </c>
    </row>
    <row r="92" spans="3:18" ht="17" thickBot="1">
      <c r="C92" s="232">
        <v>42877177</v>
      </c>
      <c r="D92" s="233" t="s">
        <v>478</v>
      </c>
      <c r="E92" s="234">
        <v>2118818</v>
      </c>
      <c r="F92" s="234"/>
      <c r="G92" s="235"/>
      <c r="H92" s="233"/>
      <c r="I92" s="236"/>
      <c r="L92" s="232">
        <v>42877177</v>
      </c>
      <c r="M92" s="233" t="s">
        <v>478</v>
      </c>
      <c r="N92" s="234">
        <v>2118818</v>
      </c>
      <c r="O92" s="234">
        <v>69920994</v>
      </c>
      <c r="P92" s="235">
        <v>1.9099999999999999E-2</v>
      </c>
      <c r="Q92" s="233" t="s">
        <v>458</v>
      </c>
      <c r="R92" s="236">
        <v>1.9099999999999999E-2</v>
      </c>
    </row>
    <row r="93" spans="3:18" ht="17" thickBot="1">
      <c r="C93" s="238">
        <v>890904815</v>
      </c>
      <c r="D93" s="239" t="s">
        <v>479</v>
      </c>
      <c r="E93" s="240">
        <v>1789536</v>
      </c>
      <c r="F93" s="241"/>
      <c r="G93" s="242"/>
      <c r="H93" s="243"/>
      <c r="I93" s="243"/>
      <c r="L93" s="238">
        <v>890904815</v>
      </c>
      <c r="M93" s="239" t="s">
        <v>479</v>
      </c>
      <c r="N93" s="240">
        <v>1789536</v>
      </c>
      <c r="O93" s="241"/>
      <c r="P93" s="242">
        <v>1.61E-2</v>
      </c>
      <c r="Q93" s="243"/>
      <c r="R93" s="243"/>
    </row>
    <row r="94" spans="3:18" ht="17" thickBot="1">
      <c r="C94" s="232">
        <v>8357356</v>
      </c>
      <c r="D94" s="233" t="s">
        <v>480</v>
      </c>
      <c r="E94" s="234">
        <v>897004</v>
      </c>
      <c r="F94" s="234"/>
      <c r="G94" s="235"/>
      <c r="H94" s="233"/>
      <c r="I94" s="236"/>
      <c r="L94" s="232">
        <v>8357356</v>
      </c>
      <c r="M94" s="233" t="s">
        <v>480</v>
      </c>
      <c r="N94" s="234">
        <v>897004</v>
      </c>
      <c r="O94" s="234">
        <v>29601132</v>
      </c>
      <c r="P94" s="235">
        <v>8.0999999999999996E-3</v>
      </c>
      <c r="Q94" s="233" t="s">
        <v>475</v>
      </c>
      <c r="R94" s="236">
        <v>8.0999999999999996E-3</v>
      </c>
    </row>
    <row r="95" spans="3:18" ht="17" thickBot="1">
      <c r="C95" s="232">
        <v>43222170</v>
      </c>
      <c r="D95" s="233" t="s">
        <v>481</v>
      </c>
      <c r="E95" s="234">
        <v>897004</v>
      </c>
      <c r="F95" s="234"/>
      <c r="G95" s="235"/>
      <c r="H95" s="233"/>
      <c r="I95" s="236"/>
      <c r="L95" s="232">
        <v>43222170</v>
      </c>
      <c r="M95" s="233" t="s">
        <v>481</v>
      </c>
      <c r="N95" s="234">
        <v>897004</v>
      </c>
      <c r="O95" s="234">
        <v>29601132</v>
      </c>
      <c r="P95" s="235">
        <v>8.0999999999999996E-3</v>
      </c>
      <c r="Q95" s="233" t="s">
        <v>458</v>
      </c>
      <c r="R95" s="236">
        <v>8.0999999999999996E-3</v>
      </c>
    </row>
    <row r="96" spans="3:18" ht="17" thickBot="1">
      <c r="C96" s="232">
        <v>900035545</v>
      </c>
      <c r="D96" s="233" t="s">
        <v>482</v>
      </c>
      <c r="E96" s="234">
        <v>214282</v>
      </c>
      <c r="F96" s="234"/>
      <c r="G96" s="235"/>
      <c r="H96" s="233"/>
      <c r="I96" s="237"/>
      <c r="L96" s="232">
        <v>900035545</v>
      </c>
      <c r="M96" s="233" t="s">
        <v>482</v>
      </c>
      <c r="N96" s="234">
        <v>214282</v>
      </c>
      <c r="O96" s="234">
        <v>7071306</v>
      </c>
      <c r="P96" s="235">
        <v>1.9E-3</v>
      </c>
      <c r="Q96" s="233"/>
      <c r="R96" s="237"/>
    </row>
    <row r="97" spans="3:18" ht="17" thickBot="1">
      <c r="C97" s="232">
        <v>21404630</v>
      </c>
      <c r="D97" s="233" t="s">
        <v>483</v>
      </c>
      <c r="E97" s="234">
        <v>137983</v>
      </c>
      <c r="F97" s="234"/>
      <c r="G97" s="235"/>
      <c r="H97" s="233"/>
      <c r="I97" s="236"/>
      <c r="L97" s="232">
        <v>21404630</v>
      </c>
      <c r="M97" s="233" t="s">
        <v>483</v>
      </c>
      <c r="N97" s="234">
        <v>137983</v>
      </c>
      <c r="O97" s="234">
        <v>4553439</v>
      </c>
      <c r="P97" s="235">
        <v>1.1999999999999999E-3</v>
      </c>
      <c r="Q97" s="233" t="s">
        <v>458</v>
      </c>
      <c r="R97" s="236">
        <v>1.1999999999999999E-3</v>
      </c>
    </row>
    <row r="98" spans="3:18" ht="17" thickBot="1">
      <c r="C98" s="232">
        <v>3405008</v>
      </c>
      <c r="D98" s="233" t="s">
        <v>484</v>
      </c>
      <c r="E98" s="243">
        <v>1</v>
      </c>
      <c r="F98" s="243"/>
      <c r="G98" s="244"/>
      <c r="H98" s="233"/>
      <c r="I98" s="236"/>
      <c r="L98" s="232">
        <v>3405008</v>
      </c>
      <c r="M98" s="233" t="s">
        <v>484</v>
      </c>
      <c r="N98" s="243">
        <v>1</v>
      </c>
      <c r="O98" s="243">
        <v>33</v>
      </c>
      <c r="P98" s="244"/>
      <c r="Q98" s="233" t="s">
        <v>458</v>
      </c>
      <c r="R98" s="236">
        <v>0</v>
      </c>
    </row>
    <row r="99" spans="3:18" ht="17" thickBot="1">
      <c r="C99" s="245"/>
      <c r="D99" s="246" t="s">
        <v>485</v>
      </c>
      <c r="E99" s="247">
        <v>110413905</v>
      </c>
      <c r="F99" s="247"/>
      <c r="G99" s="248"/>
      <c r="H99" s="246"/>
      <c r="I99" s="249"/>
      <c r="L99" s="245"/>
      <c r="M99" s="246" t="s">
        <v>485</v>
      </c>
      <c r="N99" s="247">
        <v>110413905</v>
      </c>
      <c r="O99" s="247">
        <v>3584604177</v>
      </c>
      <c r="P99" s="248">
        <v>1</v>
      </c>
      <c r="Q99" s="246"/>
      <c r="R99" s="249">
        <v>0.95089999999999997</v>
      </c>
    </row>
    <row r="103" spans="3:18">
      <c r="D103" t="s">
        <v>486</v>
      </c>
      <c r="E103" s="38">
        <f>+E75+E76+E77</f>
        <v>27460284</v>
      </c>
      <c r="F103">
        <f t="shared" ref="F103:F112" si="1">+E103/$E$113</f>
        <v>0.25330008267588605</v>
      </c>
    </row>
    <row r="104" spans="3:18">
      <c r="D104" t="s">
        <v>487</v>
      </c>
      <c r="E104" s="38">
        <f>+E81+E82+E83+E84+E85+E86+E87+E88</f>
        <v>28249419</v>
      </c>
      <c r="F104">
        <f t="shared" si="1"/>
        <v>0.2605792484974207</v>
      </c>
    </row>
    <row r="105" spans="3:18">
      <c r="D105" t="s">
        <v>488</v>
      </c>
      <c r="E105" s="38">
        <f>+E72+E73</f>
        <v>11978150</v>
      </c>
      <c r="F105">
        <f t="shared" si="1"/>
        <v>0.11048925733266868</v>
      </c>
    </row>
    <row r="106" spans="3:18">
      <c r="D106" t="s">
        <v>489</v>
      </c>
      <c r="E106" s="38">
        <f>+E74</f>
        <v>10850481</v>
      </c>
      <c r="F106">
        <f t="shared" si="1"/>
        <v>0.10008737471080528</v>
      </c>
    </row>
    <row r="107" spans="3:18">
      <c r="D107" t="s">
        <v>496</v>
      </c>
      <c r="E107" s="38">
        <f>+E78</f>
        <v>8475273</v>
      </c>
      <c r="F107">
        <f t="shared" si="1"/>
        <v>7.8177900549051313E-2</v>
      </c>
    </row>
    <row r="108" spans="3:18">
      <c r="D108" t="s">
        <v>493</v>
      </c>
      <c r="E108" s="38">
        <f>+E90+E91+E92</f>
        <v>6356454</v>
      </c>
      <c r="F108">
        <f t="shared" si="1"/>
        <v>5.8633418493613053E-2</v>
      </c>
    </row>
    <row r="109" spans="3:18">
      <c r="D109" t="s">
        <v>490</v>
      </c>
      <c r="E109" s="38">
        <f>+E79</f>
        <v>5085607</v>
      </c>
      <c r="F109">
        <f t="shared" si="1"/>
        <v>4.6910828509896869E-2</v>
      </c>
    </row>
    <row r="110" spans="3:18">
      <c r="D110" t="s">
        <v>491</v>
      </c>
      <c r="E110" s="38">
        <f>+E80</f>
        <v>4632763</v>
      </c>
      <c r="F110">
        <f t="shared" si="1"/>
        <v>4.2733689532045115E-2</v>
      </c>
    </row>
    <row r="111" spans="3:18">
      <c r="D111" t="s">
        <v>492</v>
      </c>
      <c r="E111" s="38">
        <f>+E89</f>
        <v>3389664</v>
      </c>
      <c r="F111">
        <f t="shared" si="1"/>
        <v>3.1267053590686628E-2</v>
      </c>
    </row>
    <row r="112" spans="3:18">
      <c r="D112" t="s">
        <v>494</v>
      </c>
      <c r="E112" s="38">
        <f>+E94+E95+E98+E97</f>
        <v>1931992</v>
      </c>
      <c r="F112">
        <f t="shared" si="1"/>
        <v>1.7821146107926285E-2</v>
      </c>
    </row>
    <row r="113" spans="4:15">
      <c r="E113" s="38">
        <f>SUM(E103:E112)</f>
        <v>108410087</v>
      </c>
    </row>
    <row r="114" spans="4:15">
      <c r="D114" t="s">
        <v>495</v>
      </c>
      <c r="E114" s="38">
        <f>+E93+E96</f>
        <v>2003818</v>
      </c>
    </row>
    <row r="115" spans="4:15">
      <c r="E115" s="38">
        <f>+SUM(E103:E114)</f>
        <v>218823992</v>
      </c>
      <c r="L115" s="14" t="s">
        <v>497</v>
      </c>
      <c r="M115" s="14" t="s">
        <v>498</v>
      </c>
      <c r="N115" s="14" t="s">
        <v>499</v>
      </c>
      <c r="O115" s="14" t="s">
        <v>500</v>
      </c>
    </row>
    <row r="116" spans="4:15">
      <c r="L116" s="14" t="s">
        <v>502</v>
      </c>
      <c r="M116" s="14"/>
      <c r="N116" s="14"/>
      <c r="O116" s="14"/>
    </row>
    <row r="117" spans="4:15">
      <c r="L117" s="15" t="s">
        <v>35</v>
      </c>
      <c r="M117" s="279">
        <f>+Proyecciones!G5</f>
        <v>3.2000000000000001E-2</v>
      </c>
      <c r="N117" s="14"/>
      <c r="O117" s="14"/>
    </row>
    <row r="118" spans="4:15" ht="16" customHeight="1">
      <c r="L118" s="15" t="s">
        <v>36</v>
      </c>
      <c r="M118" s="279">
        <f>+Proyecciones!G6</f>
        <v>0.04</v>
      </c>
      <c r="N118" s="14"/>
      <c r="O118" s="14"/>
    </row>
    <row r="119" spans="4:15" ht="16" customHeight="1">
      <c r="L119" s="14" t="s">
        <v>504</v>
      </c>
      <c r="M119" s="14"/>
      <c r="N119" s="14"/>
      <c r="O119" s="14"/>
    </row>
    <row r="120" spans="4:15" ht="16" customHeight="1">
      <c r="L120" s="15" t="s">
        <v>506</v>
      </c>
      <c r="M120" s="279">
        <f>+Proyecciones!C20</f>
        <v>2E-3</v>
      </c>
      <c r="N120" s="14"/>
      <c r="O120" s="14"/>
    </row>
    <row r="121" spans="4:15" ht="16" customHeight="1">
      <c r="D121" s="253" t="s">
        <v>3</v>
      </c>
      <c r="E121" s="253" t="s">
        <v>512</v>
      </c>
      <c r="F121" s="253" t="s">
        <v>508</v>
      </c>
      <c r="G121" s="253" t="s">
        <v>509</v>
      </c>
      <c r="H121" s="253" t="s">
        <v>510</v>
      </c>
      <c r="L121" s="15" t="s">
        <v>330</v>
      </c>
      <c r="M121" s="280">
        <f>+Proyecciones!C35</f>
        <v>0.33</v>
      </c>
      <c r="N121" s="14"/>
      <c r="O121" s="14"/>
    </row>
    <row r="122" spans="4:15" ht="16" customHeight="1">
      <c r="D122" s="252" t="s">
        <v>507</v>
      </c>
      <c r="E122" s="252" t="s">
        <v>513</v>
      </c>
      <c r="F122" s="252"/>
      <c r="G122" s="252" t="s">
        <v>521</v>
      </c>
      <c r="H122" s="252">
        <v>51542</v>
      </c>
      <c r="L122" s="15" t="s">
        <v>547</v>
      </c>
      <c r="M122" s="281" t="s">
        <v>548</v>
      </c>
      <c r="N122" s="14"/>
      <c r="O122" s="14"/>
    </row>
    <row r="123" spans="4:15" ht="16" customHeight="1">
      <c r="D123" s="252" t="s">
        <v>515</v>
      </c>
      <c r="E123" s="252" t="s">
        <v>514</v>
      </c>
      <c r="F123" s="252"/>
      <c r="G123" s="252" t="s">
        <v>522</v>
      </c>
      <c r="H123" s="252">
        <v>16183</v>
      </c>
      <c r="L123" s="15" t="s">
        <v>182</v>
      </c>
      <c r="M123" s="283" t="s">
        <v>549</v>
      </c>
      <c r="N123" s="14"/>
      <c r="O123" s="14"/>
    </row>
    <row r="124" spans="4:15">
      <c r="D124" s="252" t="s">
        <v>511</v>
      </c>
      <c r="E124" s="252" t="s">
        <v>350</v>
      </c>
      <c r="F124" s="252"/>
      <c r="G124" s="252" t="s">
        <v>523</v>
      </c>
      <c r="H124" s="252">
        <v>43339</v>
      </c>
      <c r="L124" s="15" t="s">
        <v>552</v>
      </c>
      <c r="M124" s="283" t="s">
        <v>553</v>
      </c>
      <c r="N124" s="14"/>
      <c r="O124" s="14"/>
    </row>
    <row r="125" spans="4:15">
      <c r="D125" s="252" t="s">
        <v>516</v>
      </c>
      <c r="E125" s="252" t="s">
        <v>513</v>
      </c>
      <c r="F125" s="252"/>
      <c r="G125" s="252" t="s">
        <v>523</v>
      </c>
      <c r="H125" s="252">
        <v>31446</v>
      </c>
      <c r="L125" s="14"/>
      <c r="M125" s="14"/>
      <c r="N125" s="14"/>
      <c r="O125" s="14"/>
    </row>
    <row r="126" spans="4:15">
      <c r="D126" s="252" t="s">
        <v>517</v>
      </c>
      <c r="E126" s="252"/>
      <c r="F126" s="252"/>
      <c r="G126" s="252" t="s">
        <v>523</v>
      </c>
      <c r="H126" s="252">
        <v>27313</v>
      </c>
      <c r="L126" s="14" t="s">
        <v>503</v>
      </c>
      <c r="M126" s="14"/>
      <c r="N126" s="14"/>
      <c r="O126" s="14"/>
    </row>
    <row r="127" spans="4:15">
      <c r="D127" s="252" t="s">
        <v>518</v>
      </c>
      <c r="E127" s="252"/>
      <c r="F127" s="252"/>
      <c r="G127" s="252" t="s">
        <v>523</v>
      </c>
      <c r="H127" s="252">
        <v>16488</v>
      </c>
      <c r="L127" s="15" t="s">
        <v>501</v>
      </c>
      <c r="M127" s="280">
        <f>+Proyecciones!C17</f>
        <v>0.08</v>
      </c>
      <c r="N127" s="14"/>
      <c r="O127" s="14"/>
    </row>
    <row r="128" spans="4:15">
      <c r="D128" s="252" t="s">
        <v>519</v>
      </c>
      <c r="E128" s="252"/>
      <c r="F128" s="252"/>
      <c r="G128" s="252" t="s">
        <v>523</v>
      </c>
      <c r="H128" s="252">
        <v>11073</v>
      </c>
      <c r="L128" s="15" t="str">
        <f>+Proyecciones!A38</f>
        <v>Marge bruto Arquitectura</v>
      </c>
      <c r="M128" s="282">
        <f>+Proyecciones!E38</f>
        <v>0.25</v>
      </c>
      <c r="N128" s="14"/>
      <c r="O128" s="14"/>
    </row>
    <row r="129" spans="4:28">
      <c r="D129" s="252" t="s">
        <v>520</v>
      </c>
      <c r="E129" s="252" t="s">
        <v>513</v>
      </c>
      <c r="F129" s="252"/>
      <c r="G129" s="252" t="s">
        <v>522</v>
      </c>
      <c r="H129" s="252">
        <v>20000</v>
      </c>
      <c r="L129" s="15" t="str">
        <f>+Proyecciones!A39</f>
        <v>Margen Bruto Construcción</v>
      </c>
      <c r="M129" s="282">
        <f>+Proyecciones!E39</f>
        <v>0.06</v>
      </c>
      <c r="N129" s="14"/>
      <c r="O129" s="14"/>
    </row>
    <row r="130" spans="4:28">
      <c r="H130" s="254">
        <f>+SUM(H122:H129)</f>
        <v>217384</v>
      </c>
      <c r="L130" s="15" t="str">
        <f>+Proyecciones!A42</f>
        <v>Margen Bruto Equipos</v>
      </c>
      <c r="M130" s="282">
        <f>+Proyecciones!E42</f>
        <v>0.14000000000000001</v>
      </c>
      <c r="N130" s="14"/>
      <c r="O130" s="14"/>
    </row>
    <row r="131" spans="4:28">
      <c r="L131" s="14"/>
      <c r="M131" s="14"/>
      <c r="N131" s="14"/>
      <c r="O131" s="14"/>
    </row>
    <row r="132" spans="4:28">
      <c r="L132" s="14" t="s">
        <v>505</v>
      </c>
      <c r="M132" s="14"/>
      <c r="N132" s="14"/>
      <c r="O132" s="14"/>
    </row>
    <row r="133" spans="4:28">
      <c r="L133" s="15" t="s">
        <v>551</v>
      </c>
      <c r="M133" s="14">
        <v>3</v>
      </c>
      <c r="N133" s="14"/>
      <c r="O133" s="14"/>
    </row>
    <row r="134" spans="4:28">
      <c r="L134" s="15" t="s">
        <v>550</v>
      </c>
      <c r="M134" s="14">
        <v>4</v>
      </c>
      <c r="N134" s="14"/>
      <c r="O134" s="14"/>
    </row>
    <row r="135" spans="4:28">
      <c r="Q135" s="401" t="s">
        <v>584</v>
      </c>
      <c r="R135" s="401"/>
      <c r="S135" s="401"/>
      <c r="T135" s="401" t="s">
        <v>585</v>
      </c>
      <c r="U135" s="401"/>
      <c r="V135" s="401"/>
      <c r="W135" s="401" t="s">
        <v>586</v>
      </c>
      <c r="X135" s="401"/>
      <c r="Y135" s="401"/>
      <c r="Z135" s="401" t="s">
        <v>587</v>
      </c>
      <c r="AA135" s="401"/>
      <c r="AB135" s="401"/>
    </row>
    <row r="136" spans="4:28" ht="17" thickBot="1">
      <c r="Q136" t="s">
        <v>580</v>
      </c>
      <c r="R136" t="s">
        <v>582</v>
      </c>
      <c r="S136" t="s">
        <v>583</v>
      </c>
      <c r="T136" t="s">
        <v>580</v>
      </c>
    </row>
    <row r="137" spans="4:28">
      <c r="D137" s="256" t="s">
        <v>207</v>
      </c>
      <c r="E137" s="272">
        <v>1</v>
      </c>
      <c r="F137" s="268">
        <v>0</v>
      </c>
      <c r="I137" s="287" t="s">
        <v>572</v>
      </c>
      <c r="J137" s="287">
        <v>1</v>
      </c>
      <c r="K137" s="287">
        <v>2</v>
      </c>
      <c r="L137" s="287">
        <v>3</v>
      </c>
      <c r="M137" s="287">
        <v>4</v>
      </c>
      <c r="N137" s="287" t="s">
        <v>212</v>
      </c>
      <c r="P137" t="s">
        <v>580</v>
      </c>
      <c r="Q137" s="285">
        <v>43466</v>
      </c>
    </row>
    <row r="138" spans="4:28" ht="18" thickBot="1">
      <c r="D138" s="259" t="s">
        <v>215</v>
      </c>
      <c r="E138" s="273">
        <v>0.14464460000000001</v>
      </c>
      <c r="F138" s="269">
        <v>0</v>
      </c>
      <c r="I138" s="286" t="s">
        <v>577</v>
      </c>
      <c r="J138" s="14">
        <f>+'Reg Proy Inmob'!C183</f>
        <v>62</v>
      </c>
      <c r="K138" s="14">
        <f>+'Reg Proy Inmob'!C208</f>
        <v>62</v>
      </c>
      <c r="L138" s="14">
        <f>+'Reg Proy Inmob'!C233</f>
        <v>62</v>
      </c>
      <c r="M138" s="14">
        <f>+'Reg Proy Inmob'!C258</f>
        <v>62</v>
      </c>
      <c r="N138" s="125">
        <f>+SUM(J138:M138)</f>
        <v>248</v>
      </c>
      <c r="P138" t="s">
        <v>581</v>
      </c>
      <c r="Q138" s="285">
        <f>+Q137</f>
        <v>43466</v>
      </c>
      <c r="R138">
        <v>180</v>
      </c>
      <c r="S138" s="285">
        <f>+R138+Q138</f>
        <v>43646</v>
      </c>
    </row>
    <row r="139" spans="4:28" ht="18" thickBot="1">
      <c r="D139" s="260"/>
      <c r="E139" s="274"/>
      <c r="F139" s="270"/>
      <c r="I139" s="286" t="s">
        <v>331</v>
      </c>
      <c r="J139" s="35">
        <f>+'Proyectos Inmob detall'!N270</f>
        <v>25740</v>
      </c>
      <c r="K139" s="132">
        <f>+'Proyectos Inmob detall'!M298</f>
        <v>26539</v>
      </c>
      <c r="L139" s="132">
        <f>+'Proyectos Inmob detall'!M330</f>
        <v>27314</v>
      </c>
      <c r="M139" s="132">
        <f>+'Proyectos Inmob detall'!M362</f>
        <v>31813</v>
      </c>
      <c r="N139" s="125">
        <f>+SUM(J139:M139)</f>
        <v>111406</v>
      </c>
      <c r="P139" t="s">
        <v>2</v>
      </c>
      <c r="Q139" s="285">
        <f>+S138</f>
        <v>43646</v>
      </c>
      <c r="R139">
        <f>0.8*62/5*30</f>
        <v>297.60000000000002</v>
      </c>
      <c r="S139" s="285">
        <f>+Q139+R139</f>
        <v>43943.6</v>
      </c>
      <c r="T139" s="285">
        <f>62/5*30+Q139</f>
        <v>44018</v>
      </c>
      <c r="U139">
        <f>0.8*62/5*30</f>
        <v>297.60000000000002</v>
      </c>
      <c r="V139" s="285">
        <f>+T139+U139</f>
        <v>44315.6</v>
      </c>
      <c r="W139" s="285">
        <f>62/5*30+T139</f>
        <v>44390</v>
      </c>
      <c r="X139">
        <f>0.8*62/5*30</f>
        <v>297.60000000000002</v>
      </c>
      <c r="Y139" s="285">
        <f>+W139+X139</f>
        <v>44687.6</v>
      </c>
      <c r="Z139" s="285">
        <f>62/5*30+W139</f>
        <v>44762</v>
      </c>
      <c r="AA139">
        <f>0.8*62/5*30</f>
        <v>297.60000000000002</v>
      </c>
      <c r="AB139" s="285">
        <f>+Z139+AA139</f>
        <v>45059.6</v>
      </c>
    </row>
    <row r="140" spans="4:28" ht="17">
      <c r="D140" s="256" t="s">
        <v>200</v>
      </c>
      <c r="E140" s="272">
        <v>2.8990000000000001E-3</v>
      </c>
      <c r="F140" s="262">
        <v>0</v>
      </c>
      <c r="I140" s="286" t="s">
        <v>573</v>
      </c>
      <c r="J140" s="125">
        <f>+J139/J138</f>
        <v>415.16129032258067</v>
      </c>
      <c r="K140" s="125">
        <f>+K139/K138</f>
        <v>428.04838709677421</v>
      </c>
      <c r="L140" s="125">
        <f>+L139/L138</f>
        <v>440.54838709677421</v>
      </c>
      <c r="M140" s="125">
        <f>+M139/M138</f>
        <v>513.11290322580646</v>
      </c>
      <c r="N140" s="125">
        <f>+N139/N138</f>
        <v>449.21774193548384</v>
      </c>
      <c r="P140" t="s">
        <v>270</v>
      </c>
      <c r="Q140" s="285">
        <f>+S139</f>
        <v>43943.6</v>
      </c>
      <c r="R140">
        <f>1.5*365</f>
        <v>547.5</v>
      </c>
      <c r="S140" s="285">
        <f>+R140+Q140</f>
        <v>44491.1</v>
      </c>
      <c r="T140" s="285">
        <f>+V139</f>
        <v>44315.6</v>
      </c>
      <c r="U140">
        <f>1.5*365</f>
        <v>547.5</v>
      </c>
      <c r="V140" s="285">
        <f>+U140+T140</f>
        <v>44863.1</v>
      </c>
      <c r="W140" s="285">
        <f>+Y139</f>
        <v>44687.6</v>
      </c>
      <c r="X140">
        <f>1.5*365</f>
        <v>547.5</v>
      </c>
      <c r="Y140" s="285">
        <f>+X140+W140</f>
        <v>45235.1</v>
      </c>
      <c r="Z140" s="285">
        <f>+AB139</f>
        <v>45059.6</v>
      </c>
      <c r="AA140">
        <f>1.5*365</f>
        <v>547.5</v>
      </c>
      <c r="AB140" s="285">
        <f>+AA140+Z140</f>
        <v>45607.1</v>
      </c>
    </row>
    <row r="141" spans="4:28" ht="17">
      <c r="D141" s="257" t="s">
        <v>202</v>
      </c>
      <c r="E141" s="275">
        <v>1.1596E-3</v>
      </c>
      <c r="F141" s="271">
        <v>0</v>
      </c>
      <c r="I141" s="286" t="s">
        <v>578</v>
      </c>
      <c r="J141" s="35">
        <f>+'Proyectos Inmob detall'!G286+'Proyectos Inmob detall'!H286</f>
        <v>1800</v>
      </c>
      <c r="K141" s="14"/>
      <c r="L141" s="14" t="s">
        <v>579</v>
      </c>
      <c r="M141" s="14"/>
      <c r="N141" s="14"/>
      <c r="P141" t="s">
        <v>216</v>
      </c>
      <c r="Q141" s="285">
        <f>+S140</f>
        <v>44491.1</v>
      </c>
      <c r="R141">
        <v>120</v>
      </c>
      <c r="S141" s="285">
        <f>+R141+Q141</f>
        <v>44611.1</v>
      </c>
      <c r="T141" s="285">
        <f>+V140</f>
        <v>44863.1</v>
      </c>
      <c r="U141">
        <v>120</v>
      </c>
      <c r="V141" s="285">
        <f>+U141+T141</f>
        <v>44983.1</v>
      </c>
      <c r="W141" s="285">
        <f>+Y140</f>
        <v>45235.1</v>
      </c>
      <c r="X141">
        <v>120</v>
      </c>
      <c r="Y141" s="285">
        <f>+X141+W141</f>
        <v>45355.1</v>
      </c>
      <c r="Z141" s="285">
        <f>+AB140</f>
        <v>45607.1</v>
      </c>
      <c r="AA141">
        <v>120</v>
      </c>
      <c r="AB141" s="285">
        <f>+AA141+Z141</f>
        <v>45727.1</v>
      </c>
    </row>
    <row r="142" spans="4:28" ht="34">
      <c r="D142" s="257" t="s">
        <v>526</v>
      </c>
      <c r="E142" s="275">
        <v>0.03</v>
      </c>
      <c r="F142" s="271">
        <v>0</v>
      </c>
      <c r="I142" s="286" t="s">
        <v>574</v>
      </c>
      <c r="J142" s="132">
        <f>+K146</f>
        <v>50.569999999999951</v>
      </c>
      <c r="K142" s="14" t="s">
        <v>598</v>
      </c>
      <c r="L142" s="14"/>
      <c r="M142" s="14"/>
      <c r="N142" s="14"/>
      <c r="S142" s="2">
        <f>+(S141-$Q$137)/30</f>
        <v>38.169999999999952</v>
      </c>
      <c r="V142" s="2">
        <f>+(V141-$Q$137)/30</f>
        <v>50.569999999999951</v>
      </c>
      <c r="Y142" s="2">
        <f>+(Y141-$Q$137)/30</f>
        <v>62.969999999999949</v>
      </c>
      <c r="AB142" s="2">
        <f>+(AB141-$Q$137)/30</f>
        <v>75.369999999999948</v>
      </c>
    </row>
    <row r="143" spans="4:28" ht="17">
      <c r="D143" s="257" t="s">
        <v>201</v>
      </c>
      <c r="E143" s="275">
        <v>0.62038599999999999</v>
      </c>
      <c r="F143" s="271">
        <v>0</v>
      </c>
      <c r="I143" s="286" t="s">
        <v>225</v>
      </c>
      <c r="J143" s="35">
        <f>+'Proyectos Inmob detall'!J276</f>
        <v>12922.234182</v>
      </c>
      <c r="K143" s="35">
        <f>+'Proyectos Inmob detall'!K308</f>
        <v>13323.3555927</v>
      </c>
      <c r="L143" s="35">
        <f>+'Proyectos Inmob detall'!N340</f>
        <v>13712.428300200001</v>
      </c>
      <c r="M143" s="35">
        <f>+'Proyectos Inmob detall'!O372</f>
        <v>15971.058120900001</v>
      </c>
      <c r="N143" s="125">
        <f>+SUM(J143:M143)</f>
        <v>55929.0761958</v>
      </c>
    </row>
    <row r="144" spans="4:28" ht="17">
      <c r="D144" s="257" t="s">
        <v>209</v>
      </c>
      <c r="E144" s="275">
        <v>0.34555539999999996</v>
      </c>
      <c r="F144" s="271"/>
      <c r="I144" s="286" t="s">
        <v>575</v>
      </c>
      <c r="J144" s="35">
        <f>+'Proyectos Inmob detall'!J282</f>
        <v>10944.073998</v>
      </c>
      <c r="K144" s="35">
        <f>+'Proyectos Inmob detall'!L314</f>
        <v>11217.4434803</v>
      </c>
      <c r="L144" s="35">
        <f>+'Proyectos Inmob detall'!N346</f>
        <v>11476.7336978</v>
      </c>
      <c r="M144" s="35">
        <f>+'Proyectos Inmob detall'!O378</f>
        <v>13287.5806701</v>
      </c>
      <c r="N144" s="125">
        <f>+SUM(J144:M144)</f>
        <v>46925.831846200002</v>
      </c>
    </row>
    <row r="145" spans="4:14" ht="18" thickBot="1">
      <c r="D145" s="261" t="s">
        <v>527</v>
      </c>
      <c r="E145" s="273">
        <f>+SUM(E140:E144)</f>
        <v>1</v>
      </c>
      <c r="F145" s="263"/>
      <c r="I145" s="286" t="s">
        <v>576</v>
      </c>
      <c r="J145" s="35">
        <f>+J143-J144</f>
        <v>1978.1601840000003</v>
      </c>
      <c r="K145" s="35">
        <f>+K143-K144</f>
        <v>2105.9121123999994</v>
      </c>
      <c r="L145" s="35">
        <f>+L143-L144</f>
        <v>2235.6946024000008</v>
      </c>
      <c r="M145" s="35">
        <f>+M143-M144</f>
        <v>2683.477450800001</v>
      </c>
      <c r="N145" s="125">
        <f>+SUM(J145:M145)</f>
        <v>9003.2443496000014</v>
      </c>
    </row>
    <row r="146" spans="4:14" ht="51">
      <c r="D146" s="256" t="s">
        <v>208</v>
      </c>
      <c r="E146" s="272">
        <v>0.57979999999999998</v>
      </c>
      <c r="F146" s="262">
        <v>0</v>
      </c>
      <c r="I146" s="286" t="s">
        <v>599</v>
      </c>
      <c r="J146" s="14">
        <v>38</v>
      </c>
      <c r="K146" s="132">
        <f>+V142</f>
        <v>50.569999999999951</v>
      </c>
      <c r="L146" s="132">
        <f>+Y142</f>
        <v>62.969999999999949</v>
      </c>
      <c r="M146" s="132">
        <f>+AB142</f>
        <v>75.369999999999948</v>
      </c>
      <c r="N146" s="14"/>
    </row>
    <row r="147" spans="4:14" ht="18" thickBot="1">
      <c r="D147" s="257" t="s">
        <v>210</v>
      </c>
      <c r="E147" s="275">
        <v>0.27555539999999995</v>
      </c>
      <c r="F147" s="263"/>
      <c r="I147" s="286" t="s">
        <v>588</v>
      </c>
      <c r="J147" s="125">
        <f>+'Proyectos Inmob detall'!J294*2</f>
        <v>16731</v>
      </c>
      <c r="K147" s="125">
        <f>+'Proyectos Inmob detall'!K326*2</f>
        <v>17250.350000000002</v>
      </c>
      <c r="L147" s="125">
        <f>+'Proyectos Inmob detall'!L358*2</f>
        <v>17754.100000000002</v>
      </c>
      <c r="M147" s="125">
        <f>+'Proyectos Inmob detall'!M390*2</f>
        <v>20678.45</v>
      </c>
      <c r="N147" s="125"/>
    </row>
    <row r="148" spans="4:14" ht="17" thickBot="1">
      <c r="D148" s="261" t="s">
        <v>528</v>
      </c>
      <c r="E148" s="273">
        <f>+E146+E147</f>
        <v>0.85535539999999988</v>
      </c>
      <c r="F148" s="264"/>
    </row>
    <row r="149" spans="4:14">
      <c r="D149" s="256" t="s">
        <v>529</v>
      </c>
      <c r="E149" s="272">
        <f>+E140</f>
        <v>2.8990000000000001E-3</v>
      </c>
      <c r="F149" s="265"/>
      <c r="I149" t="s">
        <v>590</v>
      </c>
    </row>
    <row r="150" spans="4:14">
      <c r="D150" s="257" t="s">
        <v>530</v>
      </c>
      <c r="E150" s="275">
        <f>+E141</f>
        <v>1.1596E-3</v>
      </c>
      <c r="F150" s="265"/>
    </row>
    <row r="151" spans="4:14">
      <c r="D151" s="257" t="s">
        <v>531</v>
      </c>
      <c r="E151" s="275">
        <f>+E142</f>
        <v>0.03</v>
      </c>
      <c r="F151" s="265"/>
    </row>
    <row r="152" spans="4:14">
      <c r="D152" s="257" t="s">
        <v>532</v>
      </c>
      <c r="E152" s="275">
        <f>+E143-E146</f>
        <v>4.0586000000000011E-2</v>
      </c>
      <c r="F152" s="265"/>
    </row>
    <row r="153" spans="4:14" ht="17" thickBot="1">
      <c r="D153" s="257" t="s">
        <v>533</v>
      </c>
      <c r="E153" s="275">
        <f>E144-E147</f>
        <v>7.0000000000000007E-2</v>
      </c>
      <c r="F153" s="266">
        <v>0</v>
      </c>
    </row>
    <row r="154" spans="4:14" ht="18" thickTop="1" thickBot="1">
      <c r="D154" s="267" t="s">
        <v>534</v>
      </c>
      <c r="E154" s="273">
        <f>+E153+E152+E151+E150+E149</f>
        <v>0.14464460000000004</v>
      </c>
      <c r="F154" s="258"/>
    </row>
    <row r="155" spans="4:14">
      <c r="D155" s="16"/>
      <c r="E155" s="276"/>
      <c r="F155" s="83"/>
    </row>
    <row r="156" spans="4:14">
      <c r="D156" s="14"/>
      <c r="E156" s="14"/>
      <c r="F156" s="14"/>
      <c r="G156" s="402" t="s">
        <v>535</v>
      </c>
      <c r="H156" s="402"/>
    </row>
    <row r="157" spans="4:14">
      <c r="D157" s="151" t="s">
        <v>594</v>
      </c>
      <c r="E157" s="151" t="s">
        <v>512</v>
      </c>
      <c r="F157" s="151" t="s">
        <v>2</v>
      </c>
      <c r="G157" s="151" t="s">
        <v>536</v>
      </c>
      <c r="H157" s="151" t="s">
        <v>148</v>
      </c>
    </row>
    <row r="158" spans="4:14">
      <c r="D158" s="15" t="s">
        <v>43</v>
      </c>
      <c r="E158" s="14" t="s">
        <v>537</v>
      </c>
      <c r="F158" s="35">
        <f>+'Proyectos Inmob detall'!J396</f>
        <v>14331.968477683635</v>
      </c>
      <c r="G158" s="35">
        <f>+'Proyectos Inmob detall'!J398</f>
        <v>5849.9417217927257</v>
      </c>
      <c r="H158" s="277">
        <f t="shared" ref="H158:H163" si="2">+G158/F158</f>
        <v>0.40817433633779571</v>
      </c>
    </row>
    <row r="159" spans="4:14">
      <c r="D159" s="15" t="s">
        <v>44</v>
      </c>
      <c r="E159" s="14" t="s">
        <v>537</v>
      </c>
      <c r="F159" s="35">
        <f>+'Proyectos Inmob detall'!K402</f>
        <v>51752.948435590399</v>
      </c>
      <c r="G159" s="35">
        <f>+'Proyectos Inmob detall'!J404</f>
        <v>7012.3625228138335</v>
      </c>
      <c r="H159" s="277">
        <f t="shared" si="2"/>
        <v>0.13549686993275625</v>
      </c>
    </row>
    <row r="160" spans="4:14">
      <c r="D160" s="15" t="str">
        <f>+'Proyectos Inmob detall'!B167</f>
        <v>Reserva de Modelia</v>
      </c>
      <c r="E160" s="14" t="s">
        <v>350</v>
      </c>
      <c r="F160" s="35">
        <f>+'Proyectos Inmob detall'!J408</f>
        <v>27224.393042</v>
      </c>
      <c r="G160" s="35">
        <f>+'Proyectos Inmob detall'!I410</f>
        <v>3085.0027746999986</v>
      </c>
      <c r="H160" s="277">
        <f t="shared" si="2"/>
        <v>0.1133175960962898</v>
      </c>
    </row>
    <row r="161" spans="4:24">
      <c r="D161" s="15" t="str">
        <f>+'Proyectos Inmob detall'!B199</f>
        <v>Manglares del Cabrero I</v>
      </c>
      <c r="E161" s="14" t="s">
        <v>538</v>
      </c>
      <c r="F161" s="35">
        <f>+'Proyectos Inmob detall'!J414</f>
        <v>45587.446045367091</v>
      </c>
      <c r="G161" s="35">
        <f>+'Proyectos Inmob detall'!J416</f>
        <v>3799.302218367091</v>
      </c>
      <c r="H161" s="277">
        <f t="shared" si="2"/>
        <v>8.3340975376996404E-2</v>
      </c>
    </row>
    <row r="162" spans="4:24">
      <c r="D162" s="15" t="str">
        <f>+'Proyectos Inmob detall'!B263</f>
        <v>Camino Verde 1</v>
      </c>
      <c r="E162" s="14" t="s">
        <v>352</v>
      </c>
      <c r="F162" s="35">
        <f>+'Proyectos Inmob detall'!O420</f>
        <v>55929.0761958</v>
      </c>
      <c r="G162" s="35">
        <f>+'Proyectos Inmob detall'!P422</f>
        <v>9003.2443495999978</v>
      </c>
      <c r="H162" s="277">
        <f t="shared" si="2"/>
        <v>0.16097609619155656</v>
      </c>
    </row>
    <row r="163" spans="4:24">
      <c r="D163" s="14" t="s">
        <v>541</v>
      </c>
      <c r="E163" s="14"/>
      <c r="F163" s="35">
        <f>+SUM(F158:F162)</f>
        <v>194825.83219644113</v>
      </c>
      <c r="G163" s="35">
        <f>+SUM(G158:G162)</f>
        <v>28749.853587273647</v>
      </c>
      <c r="H163" s="277">
        <f t="shared" si="2"/>
        <v>0.14756694871081277</v>
      </c>
    </row>
    <row r="164" spans="4:24">
      <c r="D164" s="151" t="s">
        <v>595</v>
      </c>
      <c r="E164" s="151"/>
      <c r="F164" s="151"/>
      <c r="G164" s="151"/>
      <c r="H164" s="151"/>
      <c r="J164">
        <v>2020</v>
      </c>
      <c r="K164">
        <v>2021</v>
      </c>
      <c r="L164">
        <v>2022</v>
      </c>
      <c r="M164">
        <v>2023</v>
      </c>
      <c r="N164">
        <v>2024</v>
      </c>
      <c r="O164">
        <v>2025</v>
      </c>
      <c r="P164">
        <v>2026</v>
      </c>
      <c r="Q164">
        <v>2027</v>
      </c>
      <c r="R164">
        <v>2028</v>
      </c>
      <c r="S164">
        <v>2029</v>
      </c>
      <c r="T164">
        <v>2030</v>
      </c>
      <c r="U164">
        <v>2031</v>
      </c>
      <c r="V164">
        <v>2032</v>
      </c>
      <c r="W164">
        <v>2033</v>
      </c>
      <c r="X164">
        <v>2034</v>
      </c>
    </row>
    <row r="165" spans="4:24">
      <c r="D165" s="15" t="s">
        <v>539</v>
      </c>
      <c r="E165" s="14" t="s">
        <v>540</v>
      </c>
      <c r="F165" s="35">
        <v>200000</v>
      </c>
      <c r="G165" s="35">
        <f>+H165*F165</f>
        <v>24000</v>
      </c>
      <c r="H165" s="277">
        <v>0.12</v>
      </c>
      <c r="I165">
        <f>+SUM(J165:W165)</f>
        <v>200000.00000000006</v>
      </c>
      <c r="J165" s="2"/>
      <c r="K165" s="2"/>
      <c r="L165" s="2">
        <v>13310.43453721132</v>
      </c>
      <c r="M165" s="2">
        <f t="shared" ref="M165:W165" si="3">+L165*(1+INFLACION)</f>
        <v>13842.851918699773</v>
      </c>
      <c r="N165" s="2">
        <f t="shared" si="3"/>
        <v>14396.565995447765</v>
      </c>
      <c r="O165" s="2">
        <f t="shared" si="3"/>
        <v>14972.428635265676</v>
      </c>
      <c r="P165" s="2">
        <f t="shared" si="3"/>
        <v>15571.325780676303</v>
      </c>
      <c r="Q165" s="2">
        <f t="shared" si="3"/>
        <v>16194.178811903355</v>
      </c>
      <c r="R165" s="2">
        <f t="shared" si="3"/>
        <v>16841.945964379491</v>
      </c>
      <c r="S165" s="2">
        <f t="shared" si="3"/>
        <v>17515.623802954669</v>
      </c>
      <c r="T165" s="2">
        <f t="shared" si="3"/>
        <v>18216.248755072858</v>
      </c>
      <c r="U165" s="2">
        <f t="shared" si="3"/>
        <v>18944.898705275773</v>
      </c>
      <c r="V165" s="2">
        <f t="shared" si="3"/>
        <v>19702.694653486804</v>
      </c>
      <c r="W165" s="2">
        <f t="shared" si="3"/>
        <v>20490.802439626277</v>
      </c>
    </row>
    <row r="166" spans="4:24">
      <c r="D166" s="288" t="s">
        <v>591</v>
      </c>
      <c r="E166" s="172" t="s">
        <v>545</v>
      </c>
      <c r="F166" s="35">
        <v>110000</v>
      </c>
      <c r="G166" s="35">
        <f>+H166*F166</f>
        <v>15400.000000000002</v>
      </c>
      <c r="H166" s="277">
        <v>0.14000000000000001</v>
      </c>
      <c r="I166">
        <f>+SUM(J166:W166)</f>
        <v>110000</v>
      </c>
      <c r="J166" s="2"/>
      <c r="K166" s="2"/>
      <c r="L166" s="2">
        <v>13927.057324345466</v>
      </c>
      <c r="M166" s="2">
        <f t="shared" ref="M166:R166" si="4">+L166*(1+INFLACION)</f>
        <v>14484.139617319284</v>
      </c>
      <c r="N166" s="2">
        <f t="shared" si="4"/>
        <v>15063.505202012057</v>
      </c>
      <c r="O166" s="2">
        <f t="shared" si="4"/>
        <v>15666.04541009254</v>
      </c>
      <c r="P166" s="2">
        <f t="shared" si="4"/>
        <v>16292.687226496242</v>
      </c>
      <c r="Q166" s="2">
        <f t="shared" si="4"/>
        <v>16944.394715556093</v>
      </c>
      <c r="R166" s="2">
        <f t="shared" si="4"/>
        <v>17622.170504178335</v>
      </c>
      <c r="S166" s="2"/>
      <c r="T166" s="2"/>
      <c r="U166" s="2"/>
      <c r="V166" s="2"/>
      <c r="W166" s="2"/>
    </row>
    <row r="167" spans="4:24">
      <c r="D167" s="289" t="s">
        <v>542</v>
      </c>
      <c r="E167" s="290" t="s">
        <v>537</v>
      </c>
      <c r="F167" s="35">
        <v>55000</v>
      </c>
      <c r="G167" s="35">
        <v>9476.5</v>
      </c>
      <c r="H167" s="277">
        <f>+G167/F167</f>
        <v>0.17230000000000001</v>
      </c>
      <c r="I167">
        <f>+SUM(J167:X167)</f>
        <v>54999.999999999993</v>
      </c>
      <c r="J167" s="2"/>
      <c r="K167" s="2"/>
      <c r="L167" s="2"/>
      <c r="M167" s="2"/>
      <c r="N167" s="2">
        <v>12951.952495064126</v>
      </c>
      <c r="O167" s="2">
        <f>+N167*(1+INFLACION)</f>
        <v>13470.030594866692</v>
      </c>
      <c r="P167" s="2">
        <f>+O167*(1+INFLACION)</f>
        <v>14008.83181866136</v>
      </c>
      <c r="Q167" s="2">
        <f>+P167*(1+INFLACION)</f>
        <v>14569.185091407815</v>
      </c>
      <c r="R167" s="2"/>
      <c r="S167" s="2"/>
      <c r="T167" s="2"/>
      <c r="U167" s="2"/>
      <c r="V167" s="2"/>
      <c r="W167" s="2"/>
      <c r="X167" s="2"/>
    </row>
    <row r="168" spans="4:24">
      <c r="D168" s="15" t="s">
        <v>593</v>
      </c>
      <c r="E168" s="14" t="s">
        <v>513</v>
      </c>
      <c r="F168" s="35">
        <v>45000</v>
      </c>
      <c r="G168" s="35">
        <v>6082</v>
      </c>
      <c r="H168" s="277">
        <f>+G168/F168</f>
        <v>0.13515555555555556</v>
      </c>
      <c r="I168">
        <f>+SUM(J168:X168)</f>
        <v>45000</v>
      </c>
      <c r="J168" s="2"/>
      <c r="K168" s="2">
        <v>14415.684264479754</v>
      </c>
      <c r="L168" s="2">
        <f>+K168*(1+INFLACION)</f>
        <v>14992.311635058944</v>
      </c>
      <c r="M168" s="2">
        <f>+L168*(1+INFLACION)</f>
        <v>15592.004100461303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4:24">
      <c r="D169" s="15" t="s">
        <v>592</v>
      </c>
      <c r="E169" s="14" t="s">
        <v>546</v>
      </c>
      <c r="F169" s="35">
        <v>43000</v>
      </c>
      <c r="G169" s="35">
        <v>8258</v>
      </c>
      <c r="H169" s="277">
        <f>+G169/F169</f>
        <v>0.19204651162790698</v>
      </c>
      <c r="I169">
        <f>+SUM(J169:X169)</f>
        <v>43000</v>
      </c>
      <c r="J169" s="2"/>
      <c r="K169" s="2">
        <v>10126.071950686501</v>
      </c>
      <c r="L169" s="2">
        <f>+K169*(1+INFLACION)</f>
        <v>10531.11482871396</v>
      </c>
      <c r="M169" s="2">
        <f>+L169*(1+INFLACION)</f>
        <v>10952.359421862519</v>
      </c>
      <c r="N169" s="2">
        <f>+M169*(1+INFLACION)</f>
        <v>11390.45379873702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4:24">
      <c r="D170" s="15" t="s">
        <v>543</v>
      </c>
      <c r="E170" s="14" t="s">
        <v>544</v>
      </c>
      <c r="F170" s="35">
        <v>27000</v>
      </c>
      <c r="G170" s="35">
        <v>2560</v>
      </c>
      <c r="H170" s="277">
        <f>+G170/F170</f>
        <v>9.481481481481481E-2</v>
      </c>
      <c r="I170">
        <f>+SUM(J170:X170)</f>
        <v>27000</v>
      </c>
      <c r="J170" s="2">
        <v>10000</v>
      </c>
      <c r="K170" s="2">
        <f>+F170-J170</f>
        <v>17000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4:24">
      <c r="D171" s="278" t="s">
        <v>541</v>
      </c>
      <c r="E171" s="14"/>
      <c r="F171" s="35">
        <f>+SUM(F165:F170)</f>
        <v>480000</v>
      </c>
      <c r="G171" s="35">
        <f>+SUM(G165:G170)</f>
        <v>65776.5</v>
      </c>
      <c r="H171" s="277">
        <f>+G171/F171</f>
        <v>0.13703437500000001</v>
      </c>
      <c r="I171" t="s">
        <v>596</v>
      </c>
      <c r="J171" s="3">
        <f>SUM(J165:J170)</f>
        <v>10000</v>
      </c>
      <c r="K171" s="3">
        <f t="shared" ref="K171:X171" si="5">SUM(K165:K170)</f>
        <v>41541.756215166257</v>
      </c>
      <c r="L171" s="3">
        <f>SUM(L165:L170)</f>
        <v>52760.918325329687</v>
      </c>
      <c r="M171" s="3">
        <f t="shared" si="5"/>
        <v>54871.355058342873</v>
      </c>
      <c r="N171" s="3">
        <f t="shared" si="5"/>
        <v>53802.477491260972</v>
      </c>
      <c r="O171" s="3">
        <f t="shared" si="5"/>
        <v>44108.504640224906</v>
      </c>
      <c r="P171" s="3">
        <f t="shared" si="5"/>
        <v>45872.844825833905</v>
      </c>
      <c r="Q171" s="3">
        <f t="shared" si="5"/>
        <v>47707.758618867265</v>
      </c>
      <c r="R171" s="3">
        <f t="shared" si="5"/>
        <v>34464.116468557826</v>
      </c>
      <c r="S171" s="3">
        <f t="shared" si="5"/>
        <v>17515.623802954669</v>
      </c>
      <c r="T171" s="3">
        <f t="shared" si="5"/>
        <v>18216.248755072858</v>
      </c>
      <c r="U171" s="3">
        <f t="shared" si="5"/>
        <v>18944.898705275773</v>
      </c>
      <c r="V171" s="3">
        <f t="shared" si="5"/>
        <v>19702.694653486804</v>
      </c>
      <c r="W171" s="3">
        <f t="shared" si="5"/>
        <v>20490.802439626277</v>
      </c>
      <c r="X171" s="3">
        <f t="shared" si="5"/>
        <v>0</v>
      </c>
    </row>
    <row r="172" spans="4:24">
      <c r="I172" t="s">
        <v>597</v>
      </c>
    </row>
    <row r="179" spans="4:24" ht="51">
      <c r="E179" s="284" t="s">
        <v>557</v>
      </c>
      <c r="F179" s="284" t="s">
        <v>565</v>
      </c>
      <c r="G179" s="284" t="s">
        <v>571</v>
      </c>
      <c r="H179" s="284" t="s">
        <v>561</v>
      </c>
      <c r="I179" s="284" t="s">
        <v>559</v>
      </c>
      <c r="J179" s="284" t="s">
        <v>558</v>
      </c>
      <c r="K179" s="284" t="s">
        <v>563</v>
      </c>
      <c r="L179" s="284" t="s">
        <v>562</v>
      </c>
      <c r="M179" s="284" t="s">
        <v>564</v>
      </c>
      <c r="N179" s="284" t="s">
        <v>560</v>
      </c>
      <c r="O179" s="284" t="s">
        <v>566</v>
      </c>
      <c r="P179" s="284" t="s">
        <v>567</v>
      </c>
      <c r="Q179" s="284" t="s">
        <v>568</v>
      </c>
      <c r="R179" s="284" t="s">
        <v>569</v>
      </c>
      <c r="S179" s="284" t="s">
        <v>570</v>
      </c>
    </row>
    <row r="180" spans="4:24">
      <c r="D180">
        <v>1000</v>
      </c>
      <c r="E180">
        <v>2020</v>
      </c>
      <c r="F180" s="2">
        <v>-17225.10152190633</v>
      </c>
      <c r="G180" s="2">
        <v>29741.199983327311</v>
      </c>
      <c r="H180" s="2">
        <v>825.06954499999995</v>
      </c>
      <c r="I180" s="2">
        <v>13341.16800642098</v>
      </c>
      <c r="J180" s="2">
        <f>-406-'Flujo Caja'!H84-'Flujo Caja'!H85</f>
        <v>-1499.547736754</v>
      </c>
      <c r="K180" s="2">
        <v>-8000</v>
      </c>
      <c r="L180" s="2">
        <f>+M180-K180</f>
        <v>0</v>
      </c>
      <c r="M180" s="2">
        <v>-8000</v>
      </c>
      <c r="N180" s="3">
        <f>+M180+J180</f>
        <v>-9499.5477367540007</v>
      </c>
      <c r="O180" s="3">
        <f>+M180</f>
        <v>-8000</v>
      </c>
      <c r="P180" s="55">
        <f>-M180/G180</f>
        <v>0.26898712911667111</v>
      </c>
      <c r="Q180" s="55">
        <f>-O180/SUM($G$180:G180)</f>
        <v>0.26898712911667111</v>
      </c>
      <c r="R180" s="206">
        <f>IF(+F180+H180+J180&gt;0,+F180+H180+J180,0)</f>
        <v>0</v>
      </c>
      <c r="S180" s="3">
        <f>+O180+R180</f>
        <v>-8000</v>
      </c>
      <c r="T180" s="55">
        <f>-S180/SUM($G$180:G180)</f>
        <v>0.26898712911667111</v>
      </c>
      <c r="W180" s="3">
        <f>+S180</f>
        <v>-8000</v>
      </c>
      <c r="X180" s="55">
        <f>-W180/G180</f>
        <v>0.26898712911667111</v>
      </c>
    </row>
    <row r="181" spans="4:24">
      <c r="D181">
        <v>1500</v>
      </c>
      <c r="E181">
        <v>2021</v>
      </c>
      <c r="F181" s="2">
        <v>-9392.3667239914066</v>
      </c>
      <c r="G181" s="2">
        <v>34394.014255572685</v>
      </c>
      <c r="H181" s="2">
        <v>2260.7710160000001</v>
      </c>
      <c r="I181" s="2">
        <v>27262.418547581277</v>
      </c>
      <c r="J181" s="2">
        <v>-406</v>
      </c>
      <c r="K181" s="2">
        <v>-19316.084331499682</v>
      </c>
      <c r="L181" s="2">
        <f t="shared" ref="L181:L190" si="6">+M181-K181</f>
        <v>0</v>
      </c>
      <c r="M181" s="2">
        <v>-19316.084331499682</v>
      </c>
      <c r="N181" s="3">
        <f t="shared" ref="N181:N190" si="7">+M181+J181</f>
        <v>-19722.084331499682</v>
      </c>
      <c r="O181" s="3">
        <f>+O180+M181</f>
        <v>-27316.084331499682</v>
      </c>
      <c r="P181" s="55">
        <f t="shared" ref="P181:P186" si="8">-M181/G181</f>
        <v>0.56161180221555551</v>
      </c>
      <c r="Q181" s="55">
        <f>-O181/SUM($G$180:G181)</f>
        <v>0.42591397963915478</v>
      </c>
      <c r="R181" s="206">
        <f t="shared" ref="R181:R186" si="9">IF(+F181+H181+J181&gt;0,+F181+H181+J181,0)</f>
        <v>0</v>
      </c>
      <c r="S181" s="3">
        <f t="shared" ref="S181:S186" si="10">+S180+M181+R181</f>
        <v>-27316.084331499682</v>
      </c>
      <c r="T181" s="55">
        <f>-S181/SUM($G$180:G181)</f>
        <v>0.42591397963915478</v>
      </c>
      <c r="U181" s="3">
        <f>+G181+G180</f>
        <v>64135.214238899993</v>
      </c>
      <c r="V181" s="3">
        <f>+U181+S181</f>
        <v>36819.129907400311</v>
      </c>
      <c r="W181" s="3">
        <f>+S181-S180</f>
        <v>-19316.084331499682</v>
      </c>
      <c r="X181" s="55">
        <f>-W181/G181</f>
        <v>0.56161180221555551</v>
      </c>
    </row>
    <row r="182" spans="4:24">
      <c r="D182">
        <v>7000</v>
      </c>
      <c r="E182">
        <v>2022</v>
      </c>
      <c r="F182" s="2">
        <v>-8134.9659512627304</v>
      </c>
      <c r="G182" s="2">
        <v>5849.0158997099998</v>
      </c>
      <c r="H182" s="2">
        <v>1160.66597</v>
      </c>
      <c r="I182" s="2">
        <v>-1125.2840815527306</v>
      </c>
      <c r="J182" s="2">
        <v>-406</v>
      </c>
      <c r="K182" s="2">
        <v>-2491.1776388181752</v>
      </c>
      <c r="L182" s="2">
        <f t="shared" si="6"/>
        <v>-3764.4750000000004</v>
      </c>
      <c r="M182" s="2">
        <v>-6255.6526388181755</v>
      </c>
      <c r="N182" s="3">
        <f t="shared" si="7"/>
        <v>-6661.6526388181755</v>
      </c>
      <c r="O182" s="3">
        <f t="shared" ref="O182:O190" si="11">+O181+M182</f>
        <v>-33571.736970317856</v>
      </c>
      <c r="P182" s="55">
        <f t="shared" si="8"/>
        <v>1.069522248884353</v>
      </c>
      <c r="Q182" s="55">
        <f>-O182/SUM($G$180:G182)</f>
        <v>0.47970431201180674</v>
      </c>
      <c r="R182" s="206">
        <f t="shared" si="9"/>
        <v>0</v>
      </c>
      <c r="S182" s="3">
        <f t="shared" si="10"/>
        <v>-33571.736970317856</v>
      </c>
      <c r="T182" s="55">
        <f>-S182/SUM($G$180:G182)</f>
        <v>0.47970431201180674</v>
      </c>
      <c r="W182" s="3">
        <f t="shared" ref="W182:W188" si="12">+S182-S181</f>
        <v>-6255.6526388181737</v>
      </c>
      <c r="X182" s="55">
        <f>-W182/G182</f>
        <v>1.0695222488843525</v>
      </c>
    </row>
    <row r="183" spans="4:24">
      <c r="D183">
        <v>4000</v>
      </c>
      <c r="E183">
        <v>2023</v>
      </c>
      <c r="F183" s="2">
        <v>-924.08886890144913</v>
      </c>
      <c r="G183" s="2">
        <v>9542.1347664999994</v>
      </c>
      <c r="H183" s="2"/>
      <c r="I183" s="2">
        <v>14242.976419228547</v>
      </c>
      <c r="J183" s="2">
        <v>-406</v>
      </c>
      <c r="K183" s="2">
        <v>-6459.8651363143363</v>
      </c>
      <c r="L183" s="2">
        <f t="shared" si="6"/>
        <v>-7496.9856250000012</v>
      </c>
      <c r="M183" s="2">
        <v>-13956.850761314337</v>
      </c>
      <c r="N183" s="3">
        <f t="shared" si="7"/>
        <v>-14362.850761314337</v>
      </c>
      <c r="O183" s="3">
        <f t="shared" si="11"/>
        <v>-47528.587731632193</v>
      </c>
      <c r="P183" s="55">
        <f t="shared" si="8"/>
        <v>1.4626549616877431</v>
      </c>
      <c r="Q183" s="55">
        <f>-O183/SUM($G$180:G183)</f>
        <v>0.59764567119775691</v>
      </c>
      <c r="R183" s="206">
        <f t="shared" si="9"/>
        <v>0</v>
      </c>
      <c r="S183" s="3">
        <f t="shared" si="10"/>
        <v>-47528.587731632193</v>
      </c>
      <c r="T183" s="55">
        <f>-S183/SUM($G$180:G183)</f>
        <v>0.59764567119775691</v>
      </c>
      <c r="W183" s="3">
        <f t="shared" si="12"/>
        <v>-13956.850761314337</v>
      </c>
      <c r="X183" s="55">
        <f>-W183/G183</f>
        <v>1.4626549616877431</v>
      </c>
    </row>
    <row r="184" spans="4:24">
      <c r="D184">
        <v>8000</v>
      </c>
      <c r="E184">
        <v>2024</v>
      </c>
      <c r="F184" s="2">
        <v>5494.9120624203788</v>
      </c>
      <c r="G184" s="2">
        <v>2922.4423333333334</v>
      </c>
      <c r="H184" s="2"/>
      <c r="I184" s="2">
        <v>8417.3543957537131</v>
      </c>
      <c r="J184" s="2">
        <v>-406</v>
      </c>
      <c r="K184" s="2">
        <v>-1244.7090444559362</v>
      </c>
      <c r="L184" s="2">
        <f t="shared" si="6"/>
        <v>-5534.3035200000013</v>
      </c>
      <c r="M184" s="2">
        <v>-6779.0125644559375</v>
      </c>
      <c r="N184" s="3">
        <f t="shared" si="7"/>
        <v>-7185.0125644559375</v>
      </c>
      <c r="O184" s="3">
        <f t="shared" si="11"/>
        <v>-54307.600296088131</v>
      </c>
      <c r="P184" s="55">
        <f t="shared" si="8"/>
        <v>2.3196394629021837</v>
      </c>
      <c r="Q184" s="55">
        <f>-O184/SUM($G$180:G184)</f>
        <v>0.65868266764647854</v>
      </c>
      <c r="R184" s="206">
        <f>IF(+F184+H184+J184&gt;0,+F184+H184+J184,0)</f>
        <v>5088.9120624203788</v>
      </c>
      <c r="S184" s="3">
        <f t="shared" si="10"/>
        <v>-49218.688233667752</v>
      </c>
      <c r="T184" s="55">
        <f>-S184/SUM($G$180:G184)</f>
        <v>0.59696058538877939</v>
      </c>
      <c r="W184" s="3">
        <f t="shared" si="12"/>
        <v>-1690.1005020355587</v>
      </c>
    </row>
    <row r="185" spans="4:24">
      <c r="D185">
        <v>8000</v>
      </c>
      <c r="E185">
        <v>2025</v>
      </c>
      <c r="F185" s="2">
        <v>11916.285093303122</v>
      </c>
      <c r="G185" s="2">
        <v>2611.8746666666666</v>
      </c>
      <c r="H185" s="2"/>
      <c r="I185" s="2">
        <v>14528.159759969789</v>
      </c>
      <c r="J185" s="2">
        <v>-406</v>
      </c>
      <c r="K185" s="2">
        <v>-1112.4339335986951</v>
      </c>
      <c r="L185" s="2">
        <f t="shared" si="6"/>
        <v>-12746.5594108</v>
      </c>
      <c r="M185" s="2">
        <v>-13858.993344398696</v>
      </c>
      <c r="N185" s="3">
        <f t="shared" si="7"/>
        <v>-14264.993344398696</v>
      </c>
      <c r="O185" s="3">
        <f t="shared" si="11"/>
        <v>-68166.593640486826</v>
      </c>
      <c r="P185" s="55">
        <f t="shared" si="8"/>
        <v>5.3061479255763278</v>
      </c>
      <c r="Q185" s="55">
        <f>-O185/SUM($G$180:G185)</f>
        <v>0.80138781060479303</v>
      </c>
      <c r="R185" s="206">
        <f>IF(+F185+H185+J185&gt;0,+F185+H185+J185,0)</f>
        <v>11510.285093303122</v>
      </c>
      <c r="S185" s="3">
        <f t="shared" si="10"/>
        <v>-51567.396484763325</v>
      </c>
      <c r="T185" s="55">
        <f>-S185/SUM($G$180:G185)</f>
        <v>0.60624245338509841</v>
      </c>
      <c r="W185" s="3">
        <f t="shared" si="12"/>
        <v>-2348.7082510955734</v>
      </c>
    </row>
    <row r="186" spans="4:24">
      <c r="D186">
        <v>3822</v>
      </c>
      <c r="E186">
        <v>2026</v>
      </c>
      <c r="F186" s="2">
        <v>8578.9138505398805</v>
      </c>
      <c r="G186" s="2">
        <v>3233.01</v>
      </c>
      <c r="H186" s="2"/>
      <c r="I186" s="2">
        <v>11811.923850539883</v>
      </c>
      <c r="J186" s="2">
        <v>-406</v>
      </c>
      <c r="K186" s="2">
        <v>-1376.9841553131773</v>
      </c>
      <c r="L186" s="2">
        <f t="shared" si="6"/>
        <v>-9976.4217872320005</v>
      </c>
      <c r="M186" s="2">
        <v>-11353.405942545178</v>
      </c>
      <c r="N186" s="3">
        <f t="shared" si="7"/>
        <v>-11759.405942545178</v>
      </c>
      <c r="O186" s="3">
        <f t="shared" si="11"/>
        <v>-79519.999583032011</v>
      </c>
      <c r="P186" s="55">
        <f t="shared" si="8"/>
        <v>3.5117138340262408</v>
      </c>
      <c r="Q186" s="55">
        <f>-O186/SUM($G$180:G186)</f>
        <v>0.90063058716009814</v>
      </c>
      <c r="R186" s="206">
        <f t="shared" si="9"/>
        <v>8172.9138505398805</v>
      </c>
      <c r="S186" s="3">
        <f t="shared" si="10"/>
        <v>-54747.888576768622</v>
      </c>
      <c r="T186" s="55">
        <f>-S186/SUM($G$180:G186)</f>
        <v>0.6200656852768901</v>
      </c>
      <c r="U186" s="3">
        <f>+G192+S186</f>
        <v>33545.803328341361</v>
      </c>
      <c r="W186" s="3">
        <f t="shared" si="12"/>
        <v>-3180.4920920052973</v>
      </c>
    </row>
    <row r="187" spans="4:24">
      <c r="D187">
        <v>26019</v>
      </c>
      <c r="E187">
        <v>2027</v>
      </c>
      <c r="F187" s="2">
        <v>8036.3288264124976</v>
      </c>
      <c r="G187" s="2">
        <v>0</v>
      </c>
      <c r="H187" s="2"/>
      <c r="I187" s="2">
        <v>8036.3288264124976</v>
      </c>
      <c r="J187" s="2">
        <v>-406</v>
      </c>
      <c r="K187" s="2">
        <v>0</v>
      </c>
      <c r="L187" s="2">
        <f t="shared" si="6"/>
        <v>-8000</v>
      </c>
      <c r="M187" s="2">
        <v>-8000</v>
      </c>
      <c r="N187" s="3">
        <f t="shared" si="7"/>
        <v>-8406</v>
      </c>
      <c r="O187" s="3">
        <f t="shared" si="11"/>
        <v>-87519.999583032011</v>
      </c>
      <c r="P187" s="55"/>
      <c r="R187" s="206"/>
      <c r="S187" s="3"/>
      <c r="W187" s="3">
        <f t="shared" si="12"/>
        <v>54747.888576768622</v>
      </c>
    </row>
    <row r="188" spans="4:24">
      <c r="E188">
        <v>2028</v>
      </c>
      <c r="F188" s="2">
        <v>9309.35208223275</v>
      </c>
      <c r="G188" s="2">
        <v>0</v>
      </c>
      <c r="H188" s="2"/>
      <c r="I188" s="2">
        <v>9309.35208223275</v>
      </c>
      <c r="J188" s="2">
        <v>-406</v>
      </c>
      <c r="K188" s="2">
        <v>0</v>
      </c>
      <c r="L188" s="2">
        <f t="shared" si="6"/>
        <v>-8000</v>
      </c>
      <c r="M188" s="2">
        <v>-8000</v>
      </c>
      <c r="N188" s="3">
        <f t="shared" si="7"/>
        <v>-8406</v>
      </c>
      <c r="O188" s="3">
        <f t="shared" si="11"/>
        <v>-95519.999583032011</v>
      </c>
      <c r="P188" s="55"/>
      <c r="S188" s="3"/>
      <c r="W188" s="3">
        <f t="shared" si="12"/>
        <v>0</v>
      </c>
    </row>
    <row r="189" spans="4:24">
      <c r="E189">
        <v>2029</v>
      </c>
      <c r="F189" s="2">
        <v>12680.257433974279</v>
      </c>
      <c r="G189" s="2">
        <v>0</v>
      </c>
      <c r="H189" s="2"/>
      <c r="I189" s="2">
        <v>12680.257433974279</v>
      </c>
      <c r="J189" s="2">
        <v>-406</v>
      </c>
      <c r="K189" s="2">
        <v>0</v>
      </c>
      <c r="L189" s="2">
        <f t="shared" si="6"/>
        <v>-3821.7536239679976</v>
      </c>
      <c r="M189" s="2">
        <v>-3821.7536239679976</v>
      </c>
      <c r="N189" s="3">
        <f t="shared" si="7"/>
        <v>-4227.7536239679976</v>
      </c>
      <c r="O189" s="3">
        <f t="shared" si="11"/>
        <v>-99341.753207000002</v>
      </c>
      <c r="P189" s="55"/>
      <c r="S189" s="3"/>
    </row>
    <row r="190" spans="4:24">
      <c r="E190">
        <v>2030</v>
      </c>
      <c r="F190" s="2">
        <v>22094.933228301441</v>
      </c>
      <c r="G190" s="2">
        <v>0</v>
      </c>
      <c r="H190" s="2"/>
      <c r="I190" s="2">
        <v>22094.933228301441</v>
      </c>
      <c r="J190" s="2">
        <v>-406</v>
      </c>
      <c r="K190" s="2">
        <v>0</v>
      </c>
      <c r="L190" s="2">
        <f t="shared" si="6"/>
        <v>0</v>
      </c>
      <c r="M190" s="2">
        <v>0</v>
      </c>
      <c r="N190" s="3">
        <f t="shared" si="7"/>
        <v>-406</v>
      </c>
      <c r="O190" s="3">
        <f t="shared" si="11"/>
        <v>-99341.753207000002</v>
      </c>
      <c r="P190" s="55"/>
    </row>
    <row r="192" spans="4:24">
      <c r="F192" s="3">
        <f>+SUM(F180:F190)</f>
        <v>42434.459511122433</v>
      </c>
      <c r="G192" s="3">
        <f t="shared" ref="G192:N192" si="13">+SUM(G180:G190)</f>
        <v>88293.691905109983</v>
      </c>
      <c r="H192" s="3">
        <f t="shared" si="13"/>
        <v>4246.506531</v>
      </c>
      <c r="I192" s="3">
        <f t="shared" si="13"/>
        <v>140599.58846886244</v>
      </c>
      <c r="J192" s="3">
        <f t="shared" si="13"/>
        <v>-5559.5477367539997</v>
      </c>
      <c r="K192" s="3">
        <f t="shared" si="13"/>
        <v>-40001.254240000002</v>
      </c>
      <c r="L192" s="3">
        <f t="shared" si="13"/>
        <v>-59340.498967</v>
      </c>
      <c r="M192" s="3">
        <f t="shared" si="13"/>
        <v>-99341.753207000002</v>
      </c>
      <c r="N192" s="3">
        <f t="shared" si="13"/>
        <v>-104901.300943754</v>
      </c>
    </row>
    <row r="193" spans="7:7">
      <c r="G193">
        <f>+G192*85%</f>
        <v>75049.638119343479</v>
      </c>
    </row>
    <row r="194" spans="7:7">
      <c r="G194" s="3">
        <f>+G192-G193</f>
        <v>13244.053785766504</v>
      </c>
    </row>
  </sheetData>
  <sortState xmlns:xlrd2="http://schemas.microsoft.com/office/spreadsheetml/2017/richdata2" ref="D164:H169">
    <sortCondition descending="1" ref="F164:F169"/>
  </sortState>
  <mergeCells count="17">
    <mergeCell ref="T135:V135"/>
    <mergeCell ref="W135:Y135"/>
    <mergeCell ref="Z135:AB135"/>
    <mergeCell ref="G156:H156"/>
    <mergeCell ref="R70:R71"/>
    <mergeCell ref="I70:I71"/>
    <mergeCell ref="L70:L71"/>
    <mergeCell ref="M70:M71"/>
    <mergeCell ref="N70:N71"/>
    <mergeCell ref="O70:O71"/>
    <mergeCell ref="P70:P71"/>
    <mergeCell ref="Q135:S135"/>
    <mergeCell ref="C70:C71"/>
    <mergeCell ref="D70:D71"/>
    <mergeCell ref="E70:E71"/>
    <mergeCell ref="F70:F71"/>
    <mergeCell ref="G70:G71"/>
  </mergeCells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F36"/>
  <sheetViews>
    <sheetView topLeftCell="A4" zoomScale="150" zoomScaleNormal="150" zoomScalePageLayoutView="150" workbookViewId="0">
      <pane xSplit="2" ySplit="1" topLeftCell="L5" activePane="bottomRight" state="frozen"/>
      <selection activeCell="C38" sqref="C38:C40"/>
      <selection pane="topRight" activeCell="C38" sqref="C38:C40"/>
      <selection pane="bottomLeft" activeCell="C38" sqref="C38:C40"/>
      <selection pane="bottomRight" activeCell="T30" sqref="T30"/>
    </sheetView>
  </sheetViews>
  <sheetFormatPr baseColWidth="10" defaultRowHeight="16" outlineLevelRow="3"/>
  <cols>
    <col min="2" max="2" width="44.1640625" customWidth="1"/>
    <col min="3" max="7" width="7.83203125" customWidth="1"/>
    <col min="8" max="9" width="17.1640625" customWidth="1"/>
    <col min="10" max="10" width="16" bestFit="1" customWidth="1"/>
    <col min="11" max="12" width="17" bestFit="1" customWidth="1"/>
    <col min="13" max="13" width="17" style="169" bestFit="1" customWidth="1"/>
    <col min="14" max="32" width="17" bestFit="1" customWidth="1"/>
  </cols>
  <sheetData>
    <row r="4" spans="2:32">
      <c r="J4">
        <f>+PyG!J4</f>
        <v>0</v>
      </c>
      <c r="K4">
        <f>+PyG!K4</f>
        <v>2018</v>
      </c>
      <c r="L4">
        <f>+PyG!L4</f>
        <v>2019</v>
      </c>
      <c r="M4" s="169">
        <f>+PyG!M4</f>
        <v>2020</v>
      </c>
      <c r="N4">
        <f>+PyG!N4</f>
        <v>2021</v>
      </c>
      <c r="O4">
        <f>+PyG!O4</f>
        <v>2022</v>
      </c>
      <c r="P4">
        <f>+PyG!P4</f>
        <v>2023</v>
      </c>
      <c r="Q4">
        <f>+PyG!Q4</f>
        <v>2024</v>
      </c>
      <c r="R4">
        <f>+PyG!R4</f>
        <v>2025</v>
      </c>
      <c r="S4">
        <f>+PyG!S4</f>
        <v>2026</v>
      </c>
      <c r="T4">
        <f>+PyG!T4</f>
        <v>2027</v>
      </c>
      <c r="U4">
        <f>+PyG!U4</f>
        <v>2028</v>
      </c>
      <c r="V4">
        <f>+PyG!V4</f>
        <v>2029</v>
      </c>
      <c r="W4">
        <f>+PyG!W4</f>
        <v>2030</v>
      </c>
      <c r="X4">
        <f>+PyG!X4</f>
        <v>2031</v>
      </c>
      <c r="Y4">
        <f>+PyG!Y4</f>
        <v>2032</v>
      </c>
      <c r="Z4">
        <f>+PyG!Z4</f>
        <v>2033</v>
      </c>
      <c r="AA4">
        <f>+PyG!AA4</f>
        <v>2034</v>
      </c>
      <c r="AB4">
        <f>+PyG!AB4</f>
        <v>2035</v>
      </c>
      <c r="AC4">
        <f>+PyG!AC4</f>
        <v>2036</v>
      </c>
      <c r="AD4">
        <f>+PyG!AD4</f>
        <v>2037</v>
      </c>
      <c r="AE4">
        <f>+PyG!AE4</f>
        <v>2038</v>
      </c>
      <c r="AF4">
        <f>+PyG!AF4</f>
        <v>2039</v>
      </c>
    </row>
    <row r="5" spans="2:32">
      <c r="B5" t="s">
        <v>348</v>
      </c>
      <c r="J5" s="2"/>
      <c r="K5" s="2"/>
      <c r="L5" s="2"/>
      <c r="M5" s="64">
        <f t="shared" ref="M5:AF5" si="0">+M6/(1+INFLACION)^(M4-$L$4)</f>
        <v>110811.53846153845</v>
      </c>
      <c r="N5" s="64">
        <f t="shared" si="0"/>
        <v>144613.75739644968</v>
      </c>
      <c r="O5" s="64">
        <f t="shared" si="0"/>
        <v>166451.881827492</v>
      </c>
      <c r="P5" s="64">
        <f t="shared" si="0"/>
        <v>216201.48574542205</v>
      </c>
      <c r="Q5" s="64">
        <f t="shared" si="0"/>
        <v>259334.67187638869</v>
      </c>
      <c r="R5" s="64">
        <f t="shared" si="0"/>
        <v>267249.89566864975</v>
      </c>
      <c r="S5" s="64">
        <f t="shared" si="0"/>
        <v>275418.40662226331</v>
      </c>
      <c r="T5" s="64">
        <f t="shared" si="0"/>
        <v>283848.30992639239</v>
      </c>
      <c r="U5" s="64">
        <f t="shared" si="0"/>
        <v>292547.97013625357</v>
      </c>
      <c r="V5" s="64">
        <f t="shared" si="0"/>
        <v>301526.01947283035</v>
      </c>
      <c r="W5" s="64">
        <f t="shared" si="0"/>
        <v>304421.44038387638</v>
      </c>
      <c r="X5" s="64">
        <f t="shared" si="0"/>
        <v>313779.44076837698</v>
      </c>
      <c r="Y5" s="64">
        <f t="shared" si="0"/>
        <v>323436.89716518176</v>
      </c>
      <c r="Z5" s="64">
        <f t="shared" si="0"/>
        <v>333403.39216668432</v>
      </c>
      <c r="AA5" s="64">
        <f t="shared" si="0"/>
        <v>343688.81500823487</v>
      </c>
      <c r="AB5" s="64">
        <f t="shared" si="0"/>
        <v>354303.37138071499</v>
      </c>
      <c r="AC5" s="64">
        <f t="shared" si="0"/>
        <v>357726.56581083994</v>
      </c>
      <c r="AD5" s="64">
        <f t="shared" si="0"/>
        <v>368790.33020900341</v>
      </c>
      <c r="AE5" s="64">
        <f t="shared" si="0"/>
        <v>380208.13506790827</v>
      </c>
      <c r="AF5" s="64">
        <f t="shared" si="0"/>
        <v>391991.3096822981</v>
      </c>
    </row>
    <row r="6" spans="2:32" s="4" customFormat="1" outlineLevel="1">
      <c r="B6" s="4" t="s">
        <v>17</v>
      </c>
      <c r="J6" s="8">
        <f t="shared" ref="J6:AF6" si="1">+SUBTOTAL(9,J7:J21)</f>
        <v>99117</v>
      </c>
      <c r="K6" s="8">
        <f t="shared" si="1"/>
        <v>207321</v>
      </c>
      <c r="L6" s="8">
        <f t="shared" si="1"/>
        <v>148633</v>
      </c>
      <c r="M6" s="170">
        <f t="shared" si="1"/>
        <v>115244</v>
      </c>
      <c r="N6" s="8">
        <f t="shared" si="1"/>
        <v>156414.24</v>
      </c>
      <c r="O6" s="8">
        <f t="shared" si="1"/>
        <v>187235.72959999999</v>
      </c>
      <c r="P6" s="8">
        <f t="shared" si="1"/>
        <v>252925.158784</v>
      </c>
      <c r="Q6" s="8">
        <f t="shared" si="1"/>
        <v>315520.28123136004</v>
      </c>
      <c r="R6" s="8">
        <f t="shared" si="1"/>
        <v>338156.37568061444</v>
      </c>
      <c r="S6" s="8">
        <f t="shared" si="1"/>
        <v>362431.83386073506</v>
      </c>
      <c r="T6" s="8">
        <f t="shared" si="1"/>
        <v>388466.01197510475</v>
      </c>
      <c r="U6" s="8">
        <f t="shared" si="1"/>
        <v>416386.98159485759</v>
      </c>
      <c r="V6" s="8">
        <f t="shared" si="1"/>
        <v>446332.16707883461</v>
      </c>
      <c r="W6" s="8">
        <f t="shared" si="1"/>
        <v>468642.8212282373</v>
      </c>
      <c r="X6" s="8">
        <f t="shared" si="1"/>
        <v>502370.9941943211</v>
      </c>
      <c r="Y6" s="8">
        <f t="shared" si="1"/>
        <v>538546.20875641878</v>
      </c>
      <c r="Z6" s="8">
        <f t="shared" si="1"/>
        <v>577346.80176592863</v>
      </c>
      <c r="AA6" s="8">
        <f t="shared" si="1"/>
        <v>618964.13930444873</v>
      </c>
      <c r="AB6" s="8">
        <f t="shared" si="1"/>
        <v>663603.56989399611</v>
      </c>
      <c r="AC6" s="8">
        <f t="shared" si="1"/>
        <v>696815.75481658184</v>
      </c>
      <c r="AD6" s="8">
        <f t="shared" si="1"/>
        <v>747101.54164930189</v>
      </c>
      <c r="AE6" s="8">
        <f t="shared" si="1"/>
        <v>801041.19607391418</v>
      </c>
      <c r="AF6" s="8">
        <f t="shared" si="1"/>
        <v>858901.23051286419</v>
      </c>
    </row>
    <row r="7" spans="2:32" s="5" customFormat="1" outlineLevel="2">
      <c r="B7" s="5" t="s">
        <v>7</v>
      </c>
      <c r="J7" s="9">
        <f>+SUBTOTAL(9,J8:J9)</f>
        <v>10374</v>
      </c>
      <c r="K7" s="9">
        <f t="shared" ref="K7:AF7" si="2">0+(+SUBTOTAL(9,K8:K9))</f>
        <v>8781</v>
      </c>
      <c r="L7" s="9">
        <f t="shared" si="2"/>
        <v>10377</v>
      </c>
      <c r="M7" s="171">
        <f t="shared" si="2"/>
        <v>8377</v>
      </c>
      <c r="N7" s="9">
        <f t="shared" si="2"/>
        <v>8377</v>
      </c>
      <c r="O7" s="9">
        <f t="shared" si="2"/>
        <v>8877</v>
      </c>
      <c r="P7" s="9">
        <f t="shared" si="2"/>
        <v>9232.08</v>
      </c>
      <c r="Q7" s="9">
        <f t="shared" si="2"/>
        <v>9601.3631999999998</v>
      </c>
      <c r="R7" s="9">
        <f t="shared" si="2"/>
        <v>9985.4177280000004</v>
      </c>
      <c r="S7" s="9">
        <f t="shared" si="2"/>
        <v>10384.83443712</v>
      </c>
      <c r="T7" s="9">
        <f t="shared" si="2"/>
        <v>10800.227814604801</v>
      </c>
      <c r="U7" s="9">
        <f t="shared" si="2"/>
        <v>11232.236927188993</v>
      </c>
      <c r="V7" s="9">
        <f t="shared" si="2"/>
        <v>11681.526404276554</v>
      </c>
      <c r="W7" s="9">
        <f t="shared" si="2"/>
        <v>12148.787460447616</v>
      </c>
      <c r="X7" s="9">
        <f t="shared" si="2"/>
        <v>12634.738958865522</v>
      </c>
      <c r="Y7" s="9">
        <f t="shared" si="2"/>
        <v>13140.128517220144</v>
      </c>
      <c r="Z7" s="9">
        <f t="shared" si="2"/>
        <v>13665.73365790895</v>
      </c>
      <c r="AA7" s="9">
        <f t="shared" si="2"/>
        <v>14212.363004225308</v>
      </c>
      <c r="AB7" s="9">
        <f t="shared" si="2"/>
        <v>14780.857524394321</v>
      </c>
      <c r="AC7" s="9">
        <f t="shared" si="2"/>
        <v>15372.091825370095</v>
      </c>
      <c r="AD7" s="9">
        <f t="shared" si="2"/>
        <v>15986.9754983849</v>
      </c>
      <c r="AE7" s="9">
        <f t="shared" si="2"/>
        <v>16626.454518320297</v>
      </c>
      <c r="AF7" s="9">
        <f t="shared" si="2"/>
        <v>17291.51269905311</v>
      </c>
    </row>
    <row r="8" spans="2:32" s="5" customFormat="1" hidden="1" outlineLevel="3">
      <c r="B8" s="6" t="s">
        <v>13</v>
      </c>
      <c r="C8" s="6"/>
      <c r="D8" s="6"/>
      <c r="E8" s="6"/>
      <c r="F8" s="6"/>
      <c r="G8" s="6"/>
      <c r="H8" s="6"/>
      <c r="J8" s="9">
        <v>10374</v>
      </c>
      <c r="K8" s="9">
        <v>8781</v>
      </c>
      <c r="L8" s="150">
        <v>10377</v>
      </c>
      <c r="M8" s="150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2:32" s="5" customFormat="1" hidden="1" outlineLevel="3">
      <c r="B9" s="6" t="s">
        <v>14</v>
      </c>
      <c r="C9" s="6"/>
      <c r="D9" s="6"/>
      <c r="E9" s="6"/>
      <c r="F9" s="6"/>
      <c r="G9" s="6"/>
      <c r="H9" s="6"/>
      <c r="J9" s="9"/>
      <c r="K9" s="9"/>
      <c r="L9" s="150"/>
      <c r="M9" s="171">
        <f>+IF(AND(Arq="Si",año_arq&lt;=M4),0,IF(M27="INF",L7*(1+Proyecciones!H$6)-M8,IF(M27="PIB",L7*(1+Proyecciones!H$5)*(1+Proyecciones!H$6)-M8,'Ventas externas'!L7+'Ventas externas'!M27-'Ventas externas'!M8)))</f>
        <v>8377</v>
      </c>
      <c r="N9" s="171">
        <f>+IF(AND(Arq="Si",año_arq&lt;=N4),0,IF(N27="INF",M7*(1+Proyecciones!I$6)-N8,IF(N27="PIB",M7*(1+Proyecciones!I$5)*(1+Proyecciones!I$6)-N8,'Ventas externas'!M7+'Ventas externas'!N27-'Ventas externas'!N8)))</f>
        <v>8377</v>
      </c>
      <c r="O9" s="171">
        <f>+IF(AND(Arq="Si",año_arq&lt;=O4),0,IF(O27="INF",N7*(1+Proyecciones!J$6)-O8,IF(O27="PIB",N7*(1+Proyecciones!J$5)*(1+Proyecciones!J$6)-O8,'Ventas externas'!N7+'Ventas externas'!O27-'Ventas externas'!O8)))</f>
        <v>8877</v>
      </c>
      <c r="P9" s="171">
        <f>+IF(AND(Arq="Si",año_arq&lt;=P4),0,IF(P27="INF",O7*(1+Proyecciones!K$6)-P8,IF(P27="PIB",O7*(1+Proyecciones!K$5)*(1+Proyecciones!K$6)-P8,'Ventas externas'!O7+'Ventas externas'!P27-'Ventas externas'!P8)))</f>
        <v>9232.08</v>
      </c>
      <c r="Q9" s="171">
        <f>+IF(AND(Arq="Si",año_arq&lt;=Q4),0,IF(Q27="INF",P7*(1+Proyecciones!L$6)-Q8,IF(Q27="PIB",P7*(1+Proyecciones!L$5)*(1+Proyecciones!L$6)-Q8,'Ventas externas'!P7+'Ventas externas'!Q27-'Ventas externas'!Q8)))</f>
        <v>9601.3631999999998</v>
      </c>
      <c r="R9" s="171">
        <f>+IF(AND(Arq="Si",año_arq&lt;=R4),0,IF(R27="INF",Q7*(1+Proyecciones!M$6)-R8,IF(R27="PIB",Q7*(1+Proyecciones!M$5)*(1+Proyecciones!M$6)-R8,'Ventas externas'!Q7+'Ventas externas'!R27-'Ventas externas'!R8)))</f>
        <v>9985.4177280000004</v>
      </c>
      <c r="S9" s="171">
        <f>+IF(AND(Arq="Si",año_arq&lt;=S4),0,IF(S27="INF",R7*(1+Proyecciones!N$6)-S8,IF(S27="PIB",R7*(1+Proyecciones!N$5)*(1+Proyecciones!N$6)-S8,'Ventas externas'!R7+'Ventas externas'!S27-'Ventas externas'!S8)))</f>
        <v>10384.83443712</v>
      </c>
      <c r="T9" s="171">
        <f>+IF(AND(Arq="Si",año_arq&lt;=T4),0,IF(T27="INF",S7*(1+Proyecciones!O$6)-T8,IF(T27="PIB",S7*(1+Proyecciones!O$5)*(1+Proyecciones!O$6)-T8,'Ventas externas'!S7+'Ventas externas'!T27-'Ventas externas'!T8)))</f>
        <v>10800.227814604801</v>
      </c>
      <c r="U9" s="171">
        <f>+IF(AND(Arq="Si",año_arq&lt;=U4),0,IF(U27="INF",T7*(1+Proyecciones!P$6)-U8,IF(U27="PIB",T7*(1+Proyecciones!P$5)*(1+Proyecciones!P$6)-U8,'Ventas externas'!T7+'Ventas externas'!U27-'Ventas externas'!U8)))</f>
        <v>11232.236927188993</v>
      </c>
      <c r="V9" s="171">
        <f>+IF(AND(Arq="Si",año_arq&lt;=V4),0,IF(V27="INF",U7*(1+Proyecciones!Q$6)-V8,IF(V27="PIB",U7*(1+Proyecciones!Q$5)*(1+Proyecciones!Q$6)-V8,'Ventas externas'!U7+'Ventas externas'!V27-'Ventas externas'!V8)))</f>
        <v>11681.526404276554</v>
      </c>
      <c r="W9" s="171">
        <f>+IF(AND(Arq="Si",año_arq&lt;=W4),0,IF(W27="INF",V7*(1+Proyecciones!R$6)-W8,IF(W27="PIB",V7*(1+Proyecciones!R$5)*(1+Proyecciones!R$6)-W8,'Ventas externas'!V7+'Ventas externas'!W27-'Ventas externas'!W8)))</f>
        <v>12148.787460447616</v>
      </c>
      <c r="X9" s="171">
        <f>+IF(AND(Arq="Si",año_arq&lt;=X4),0,IF(X27="INF",W7*(1+Proyecciones!S$6)-X8,IF(X27="PIB",W7*(1+Proyecciones!S$5)*(1+Proyecciones!S$6)-X8,'Ventas externas'!W7+'Ventas externas'!X27-'Ventas externas'!X8)))</f>
        <v>12634.738958865522</v>
      </c>
      <c r="Y9" s="171">
        <f>+IF(AND(Arq="Si",año_arq&lt;=Y4),0,IF(Y27="INF",X7*(1+Proyecciones!T$6)-Y8,IF(Y27="PIB",X7*(1+Proyecciones!T$5)*(1+Proyecciones!T$6)-Y8,'Ventas externas'!X7+'Ventas externas'!Y27-'Ventas externas'!Y8)))</f>
        <v>13140.128517220144</v>
      </c>
      <c r="Z9" s="171">
        <f>+IF(AND(Arq="Si",año_arq&lt;=Z4),0,IF(Z27="INF",Y7*(1+Proyecciones!U$6)-Z8,IF(Z27="PIB",Y7*(1+Proyecciones!U$5)*(1+Proyecciones!U$6)-Z8,'Ventas externas'!Y7+'Ventas externas'!Z27-'Ventas externas'!Z8)))</f>
        <v>13665.73365790895</v>
      </c>
      <c r="AA9" s="171">
        <f>+IF(AND(Arq="Si",año_arq&lt;=AA4),0,IF(AA27="INF",Z7*(1+Proyecciones!V$6)-AA8,IF(AA27="PIB",Z7*(1+Proyecciones!V$5)*(1+Proyecciones!V$6)-AA8,'Ventas externas'!Z7+'Ventas externas'!AA27-'Ventas externas'!AA8)))</f>
        <v>14212.363004225308</v>
      </c>
      <c r="AB9" s="171">
        <f>+IF(AND(Arq="Si",año_arq&lt;=AB4),0,IF(AB27="INF",AA7*(1+Proyecciones!W$6)-AB8,IF(AB27="PIB",AA7*(1+Proyecciones!W$5)*(1+Proyecciones!W$6)-AB8,'Ventas externas'!AA7+'Ventas externas'!AB27-'Ventas externas'!AB8)))</f>
        <v>14780.857524394321</v>
      </c>
      <c r="AC9" s="171">
        <f>+IF(AND(Arq="Si",año_arq&lt;=AC4),0,IF(AC27="INF",AB7*(1+Proyecciones!X$6)-AC8,IF(AC27="PIB",AB7*(1+Proyecciones!X$5)*(1+Proyecciones!X$6)-AC8,'Ventas externas'!AB7+'Ventas externas'!AC27-'Ventas externas'!AC8)))</f>
        <v>15372.091825370095</v>
      </c>
      <c r="AD9" s="171">
        <f>+IF(AND(Arq="Si",año_arq&lt;=AD4),0,IF(AD27="INF",AC7*(1+Proyecciones!Y$6)-AD8,IF(AD27="PIB",AC7*(1+Proyecciones!Y$5)*(1+Proyecciones!Y$6)-AD8,'Ventas externas'!AC7+'Ventas externas'!AD27-'Ventas externas'!AD8)))</f>
        <v>15986.9754983849</v>
      </c>
      <c r="AE9" s="171">
        <f>+IF(AND(Arq="Si",año_arq&lt;=AE4),0,IF(AE27="INF",AD7*(1+Proyecciones!Z$6)-AE8,IF(AE27="PIB",AD7*(1+Proyecciones!Z$5)*(1+Proyecciones!Z$6)-AE8,'Ventas externas'!AD7+'Ventas externas'!AE27-'Ventas externas'!AE8)))</f>
        <v>16626.454518320297</v>
      </c>
      <c r="AF9" s="171">
        <f>+IF(AND(Arq="Si",año_arq&lt;=AF4),0,IF(AF27="INF",AE7*(1+Proyecciones!AA$6)-AF8,IF(AF27="PIB",AE7*(1+Proyecciones!AA$5)*(1+Proyecciones!AA$6)-AF8,'Ventas externas'!AE7+'Ventas externas'!AF27-'Ventas externas'!AF8)))</f>
        <v>17291.51269905311</v>
      </c>
    </row>
    <row r="10" spans="2:32" s="5" customFormat="1" outlineLevel="2" collapsed="1">
      <c r="B10" s="5" t="s">
        <v>6</v>
      </c>
      <c r="J10" s="9">
        <f>+SUBTOTAL(9,J11:J12)</f>
        <v>79502</v>
      </c>
      <c r="K10" s="9">
        <f>0+(+SUBTOTAL(9,K11:K12))</f>
        <v>186177</v>
      </c>
      <c r="L10" s="9">
        <f>0+(+SUBTOTAL(9,L11:L12))</f>
        <v>130000</v>
      </c>
      <c r="M10" s="171">
        <f>0+(+SUBTOTAL(9,M11:M12))*Sensibilidad!$D$50</f>
        <v>100000</v>
      </c>
      <c r="N10" s="171">
        <f>0+(+SUBTOTAL(9,N11:N12))*Sensibilidad!$D$50</f>
        <v>140000</v>
      </c>
      <c r="O10" s="171">
        <f>0+(+SUBTOTAL(9,O11:O12))*Sensibilidad!$D$50</f>
        <v>170000</v>
      </c>
      <c r="P10" s="171">
        <f>0+(+SUBTOTAL(9,P11:P12))*Sensibilidad!$D$50</f>
        <v>235000</v>
      </c>
      <c r="Q10" s="171">
        <f>0+(+SUBTOTAL(9,Q11:Q12))*Sensibilidad!$D$50</f>
        <v>300940</v>
      </c>
      <c r="R10" s="171">
        <f>0+(+SUBTOTAL(9,R11:R12))*Sensibilidad!$D$50</f>
        <v>322992.88320000004</v>
      </c>
      <c r="S10" s="171">
        <f>0+(+SUBTOTAL(9,S11:S12))*Sensibilidad!$D$50</f>
        <v>346661.80168089608</v>
      </c>
      <c r="T10" s="171">
        <f>0+(+SUBTOTAL(9,T11:T12))*Sensibilidad!$D$50</f>
        <v>372065.17850807222</v>
      </c>
      <c r="U10" s="171">
        <f>0+(+SUBTOTAL(9,U11:U12))*Sensibilidad!$D$50</f>
        <v>399330.11478914373</v>
      </c>
      <c r="V10" s="171">
        <f>0+(+SUBTOTAL(9,V11:V12))*Sensibilidad!$D$50</f>
        <v>428593.0256008922</v>
      </c>
      <c r="W10" s="171">
        <f>0+(+SUBTOTAL(9,W11:W12))*Sensibilidad!$D$50</f>
        <v>450194.11409117718</v>
      </c>
      <c r="X10" s="171">
        <f>0+(+SUBTOTAL(9,X11:X12))*Sensibilidad!$D$50</f>
        <v>483184.33877177862</v>
      </c>
      <c r="Y10" s="171">
        <f>0+(+SUBTOTAL(9,Y11:Y12))*Sensibilidad!$D$50</f>
        <v>518592.08711697464</v>
      </c>
      <c r="Z10" s="171">
        <f>0+(+SUBTOTAL(9,Z11:Z12))*Sensibilidad!$D$50</f>
        <v>556594.51526090666</v>
      </c>
      <c r="AA10" s="171">
        <f>0+(+SUBTOTAL(9,AA11:AA12))*Sensibilidad!$D$50</f>
        <v>597381.76133922592</v>
      </c>
      <c r="AB10" s="171">
        <f>0+(+SUBTOTAL(9,AB11:AB12))*Sensibilidad!$D$50</f>
        <v>641157.89681016444</v>
      </c>
      <c r="AC10" s="171">
        <f>0+(+SUBTOTAL(9,AC11:AC12))*Sensibilidad!$D$50</f>
        <v>673472.25480939681</v>
      </c>
      <c r="AD10" s="171">
        <f>0+(+SUBTOTAL(9,AD11:AD12))*Sensibilidad!$D$50</f>
        <v>722824.30164182943</v>
      </c>
      <c r="AE10" s="171">
        <f>0+(+SUBTOTAL(9,AE11:AE12))*Sensibilidad!$D$50</f>
        <v>775792.86646614282</v>
      </c>
      <c r="AF10" s="171">
        <f>0+(+SUBTOTAL(9,AF11:AF12))*Sensibilidad!$D$50</f>
        <v>832642.96772078192</v>
      </c>
    </row>
    <row r="11" spans="2:32" s="5" customFormat="1" hidden="1" outlineLevel="3">
      <c r="B11" s="6" t="s">
        <v>13</v>
      </c>
      <c r="C11" s="6"/>
      <c r="D11" s="6"/>
      <c r="E11" s="6"/>
      <c r="F11" s="6"/>
      <c r="G11" s="6"/>
      <c r="H11" s="6"/>
      <c r="J11" s="9">
        <v>79502</v>
      </c>
      <c r="K11" s="9">
        <v>186177</v>
      </c>
      <c r="L11" s="150">
        <v>130000</v>
      </c>
      <c r="M11" s="150">
        <v>89000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2:32" s="5" customFormat="1" hidden="1" outlineLevel="3">
      <c r="B12" s="6" t="s">
        <v>14</v>
      </c>
      <c r="C12" s="6"/>
      <c r="D12" s="6"/>
      <c r="E12" s="6"/>
      <c r="F12" s="6"/>
      <c r="G12" s="6"/>
      <c r="H12" s="6"/>
      <c r="J12" s="9"/>
      <c r="K12" s="9"/>
      <c r="L12" s="150">
        <v>0</v>
      </c>
      <c r="M12" s="171">
        <f>+IF(M28="INF",L10*(1+Proyecciones!H$6)-M11,IF(M28="PIB",L10*(1+Proyecciones!H$5)*(1+Proyecciones!H$6)-M11,'Ventas externas'!L10+'Ventas externas'!M28-'Ventas externas'!M11))</f>
        <v>11000</v>
      </c>
      <c r="N12" s="9">
        <f>+IF(N28="INF",M10*(1+Proyecciones!I$6)-N11,IF(N28="PIB",M10*(1+Proyecciones!I$5)*(1+Proyecciones!I$6)-N11,'Ventas externas'!M10+'Ventas externas'!N28-'Ventas externas'!N11))</f>
        <v>140000</v>
      </c>
      <c r="O12" s="9">
        <f>+IF(O28="INF",N10*(1+Proyecciones!J$6)-O11,IF(O28="PIB",N10*(1+Proyecciones!J$5)*(1+Proyecciones!J$6)-O11,'Ventas externas'!N10+'Ventas externas'!O28-'Ventas externas'!O11))</f>
        <v>170000</v>
      </c>
      <c r="P12" s="9">
        <f>+IF(P28="INF",O10*(1+Proyecciones!K$6)-P11,IF(P28="PIB",O10*(1+Proyecciones!K$5)*(1+Proyecciones!K$6)-P11,'Ventas externas'!O10+'Ventas externas'!P28-'Ventas externas'!P11))</f>
        <v>235000</v>
      </c>
      <c r="Q12" s="9">
        <f>+IF(Q28="INF",P10*(1+Proyecciones!L$6)-Q11,IF(Q28="PIB",P10*(1+Proyecciones!L$5)*(1+Proyecciones!L$6)-Q11,'Ventas externas'!P10+'Ventas externas'!Q28-'Ventas externas'!Q11))</f>
        <v>300940</v>
      </c>
      <c r="R12" s="9">
        <f>+IF(R28="INF",Q10*(1+Proyecciones!M$6)-R11,IF(R28="PIB",Q10*(1+Proyecciones!M$5)*(1+Proyecciones!M$6)-R11,'Ventas externas'!Q10+'Ventas externas'!R28-'Ventas externas'!R11))</f>
        <v>322992.88320000004</v>
      </c>
      <c r="S12" s="9">
        <f>+IF(S28="INF",R10*(1+Proyecciones!N$6)-S11,IF(S28="PIB",R10*(1+Proyecciones!N$5)*(1+Proyecciones!N$6)-S11,'Ventas externas'!R10+'Ventas externas'!S28-'Ventas externas'!S11))</f>
        <v>346661.80168089608</v>
      </c>
      <c r="T12" s="9">
        <f>+IF(T28="INF",S10*(1+Proyecciones!O$6)-T11,IF(T28="PIB",S10*(1+Proyecciones!O$5)*(1+Proyecciones!O$6)-T11,'Ventas externas'!S10+'Ventas externas'!T28-'Ventas externas'!T11))</f>
        <v>372065.17850807222</v>
      </c>
      <c r="U12" s="9">
        <f>+IF(U28="INF",T10*(1+Proyecciones!P$6)-U11,IF(U28="PIB",T10*(1+Proyecciones!P$5)*(1+Proyecciones!P$6)-U11,'Ventas externas'!T10+'Ventas externas'!U28-'Ventas externas'!U11))</f>
        <v>399330.11478914373</v>
      </c>
      <c r="V12" s="9">
        <f>+IF(V28="INF",U10*(1+Proyecciones!Q$6)-V11,IF(V28="PIB",U10*(1+Proyecciones!Q$5)*(1+Proyecciones!Q$6)-V11,'Ventas externas'!U10+'Ventas externas'!V28-'Ventas externas'!V11))</f>
        <v>428593.0256008922</v>
      </c>
      <c r="W12" s="9">
        <f>+IF(W28="INF",V10*(1+Proyecciones!R$6)-W11,IF(W28="PIB",V10*(1+Proyecciones!R$5)*(1+Proyecciones!R$6)-W11,'Ventas externas'!V10+'Ventas externas'!W28-'Ventas externas'!W11))</f>
        <v>450194.11409117718</v>
      </c>
      <c r="X12" s="9">
        <f>+IF(X28="INF",W10*(1+Proyecciones!S$6)-X11,IF(X28="PIB",W10*(1+Proyecciones!S$5)*(1+Proyecciones!S$6)-X11,'Ventas externas'!W10+'Ventas externas'!X28-'Ventas externas'!X11))</f>
        <v>483184.33877177862</v>
      </c>
      <c r="Y12" s="9">
        <f>+IF(Y28="INF",X10*(1+Proyecciones!T$6)-Y11,IF(Y28="PIB",X10*(1+Proyecciones!T$5)*(1+Proyecciones!T$6)-Y11,'Ventas externas'!X10+'Ventas externas'!Y28-'Ventas externas'!Y11))</f>
        <v>518592.08711697464</v>
      </c>
      <c r="Z12" s="9">
        <f>+IF(Z28="INF",Y10*(1+Proyecciones!U$6)-Z11,IF(Z28="PIB",Y10*(1+Proyecciones!U$5)*(1+Proyecciones!U$6)-Z11,'Ventas externas'!Y10+'Ventas externas'!Z28-'Ventas externas'!Z11))</f>
        <v>556594.51526090666</v>
      </c>
      <c r="AA12" s="9">
        <f>+IF(AA28="INF",Z10*(1+Proyecciones!V$6)-AA11,IF(AA28="PIB",Z10*(1+Proyecciones!V$5)*(1+Proyecciones!V$6)-AA11,'Ventas externas'!Z10+'Ventas externas'!AA28-'Ventas externas'!AA11))</f>
        <v>597381.76133922592</v>
      </c>
      <c r="AB12" s="9">
        <f>+IF(AB28="INF",AA10*(1+Proyecciones!W$6)-AB11,IF(AB28="PIB",AA10*(1+Proyecciones!W$5)*(1+Proyecciones!W$6)-AB11,'Ventas externas'!AA10+'Ventas externas'!AB28-'Ventas externas'!AB11))</f>
        <v>641157.89681016444</v>
      </c>
      <c r="AC12" s="9">
        <f>+IF(AC28="INF",AB10*(1+Proyecciones!X$6)-AC11,IF(AC28="PIB",AB10*(1+Proyecciones!X$5)*(1+Proyecciones!X$6)-AC11,'Ventas externas'!AB10+'Ventas externas'!AC28-'Ventas externas'!AC11))</f>
        <v>673472.25480939681</v>
      </c>
      <c r="AD12" s="9">
        <f>+IF(AD28="INF",AC10*(1+Proyecciones!Y$6)-AD11,IF(AD28="PIB",AC10*(1+Proyecciones!Y$5)*(1+Proyecciones!Y$6)-AD11,'Ventas externas'!AC10+'Ventas externas'!AD28-'Ventas externas'!AD11))</f>
        <v>722824.30164182943</v>
      </c>
      <c r="AE12" s="9">
        <f>+IF(AE28="INF",AD10*(1+Proyecciones!Z$6)-AE11,IF(AE28="PIB",AD10*(1+Proyecciones!Z$5)*(1+Proyecciones!Z$6)-AE11,'Ventas externas'!AD10+'Ventas externas'!AE28-'Ventas externas'!AE11))</f>
        <v>775792.86646614282</v>
      </c>
      <c r="AF12" s="9">
        <f>+IF(AF28="INF",AE10*(1+Proyecciones!AA$6)-AF11,IF(AF28="PIB",AE10*(1+Proyecciones!AA$5)*(1+Proyecciones!AA$6)-AF11,'Ventas externas'!AE10+'Ventas externas'!AF28-'Ventas externas'!AF11))</f>
        <v>832642.96772078192</v>
      </c>
    </row>
    <row r="13" spans="2:32" s="5" customFormat="1" outlineLevel="2" collapsed="1">
      <c r="B13" s="5" t="s">
        <v>8</v>
      </c>
      <c r="J13" s="9">
        <f>+SUBTOTAL(9,J14:J15)</f>
        <v>3633</v>
      </c>
      <c r="K13" s="9">
        <f t="shared" ref="K13:AF13" si="3">0+(+SUBTOTAL(9,K14:K15))</f>
        <v>4126</v>
      </c>
      <c r="L13" s="9">
        <f t="shared" si="3"/>
        <v>4256</v>
      </c>
      <c r="M13" s="171">
        <f t="shared" si="3"/>
        <v>4256</v>
      </c>
      <c r="N13" s="9">
        <f t="shared" si="3"/>
        <v>4426.24</v>
      </c>
      <c r="O13" s="9">
        <f t="shared" si="3"/>
        <v>4603.2896000000001</v>
      </c>
      <c r="P13" s="9">
        <f t="shared" si="3"/>
        <v>4787.4211839999998</v>
      </c>
      <c r="Q13" s="9">
        <f t="shared" si="3"/>
        <v>4978.91803136</v>
      </c>
      <c r="R13" s="9">
        <f t="shared" si="3"/>
        <v>5178.0747526144005</v>
      </c>
      <c r="S13" s="9">
        <f t="shared" si="3"/>
        <v>5385.1977427189768</v>
      </c>
      <c r="T13" s="9">
        <f t="shared" si="3"/>
        <v>5600.6056524277365</v>
      </c>
      <c r="U13" s="9">
        <f t="shared" si="3"/>
        <v>5824.6298785248464</v>
      </c>
      <c r="V13" s="9">
        <f t="shared" si="3"/>
        <v>6057.6150736658401</v>
      </c>
      <c r="W13" s="9">
        <f t="shared" si="3"/>
        <v>6299.9196766124742</v>
      </c>
      <c r="X13" s="9">
        <f t="shared" si="3"/>
        <v>6551.9164636769738</v>
      </c>
      <c r="Y13" s="9">
        <f t="shared" si="3"/>
        <v>6813.993122224053</v>
      </c>
      <c r="Z13" s="9">
        <f t="shared" si="3"/>
        <v>7086.5528471130156</v>
      </c>
      <c r="AA13" s="9">
        <f t="shared" si="3"/>
        <v>7370.014960997536</v>
      </c>
      <c r="AB13" s="9">
        <f t="shared" si="3"/>
        <v>7664.8155594374375</v>
      </c>
      <c r="AC13" s="9">
        <f t="shared" si="3"/>
        <v>7971.4081818149352</v>
      </c>
      <c r="AD13" s="9">
        <f t="shared" si="3"/>
        <v>8290.2645090875321</v>
      </c>
      <c r="AE13" s="9">
        <f t="shared" si="3"/>
        <v>8621.875089451034</v>
      </c>
      <c r="AF13" s="9">
        <f t="shared" si="3"/>
        <v>8966.7500930290753</v>
      </c>
    </row>
    <row r="14" spans="2:32" s="5" customFormat="1" hidden="1" outlineLevel="3">
      <c r="B14" s="6" t="s">
        <v>13</v>
      </c>
      <c r="C14" s="6"/>
      <c r="D14" s="6"/>
      <c r="E14" s="6"/>
      <c r="F14" s="6"/>
      <c r="G14" s="6"/>
      <c r="H14" s="6"/>
      <c r="J14" s="9">
        <v>3633</v>
      </c>
      <c r="K14" s="9">
        <v>4126</v>
      </c>
      <c r="L14" s="150">
        <v>4256</v>
      </c>
      <c r="M14" s="150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2:32" s="5" customFormat="1" hidden="1" outlineLevel="3">
      <c r="B15" s="6" t="s">
        <v>14</v>
      </c>
      <c r="C15" s="6"/>
      <c r="D15" s="6"/>
      <c r="E15" s="6"/>
      <c r="F15" s="6"/>
      <c r="G15" s="6"/>
      <c r="H15" s="6"/>
      <c r="J15" s="9"/>
      <c r="K15" s="9"/>
      <c r="L15" s="150">
        <f>4256-L14</f>
        <v>0</v>
      </c>
      <c r="M15" s="171">
        <f>+IF(M29="INF",L13*(1+Proyecciones!H$6)-M14,IF(M29="PIB",L13*(1+Proyecciones!H$5)*(1+Proyecciones!H$6)-M14,'Ventas externas'!L13+'Ventas externas'!M29-'Ventas externas'!M14))</f>
        <v>4256</v>
      </c>
      <c r="N15" s="9">
        <f>+IF(N29="INF",M13*(1+Proyecciones!I$6)-N14,IF(N29="PIB",M13*(1+Proyecciones!I$5)*(1+Proyecciones!I$6)-N14,'Ventas externas'!M13+'Ventas externas'!N31-'Ventas externas'!N14))</f>
        <v>4426.24</v>
      </c>
      <c r="O15" s="9">
        <f>+IF(O29="INF",N13*(1+Proyecciones!J$6)-O14,IF(O29="PIB",N13*(1+Proyecciones!J$5)*(1+Proyecciones!J$6)-O14,'Ventas externas'!N13+'Ventas externas'!O31-'Ventas externas'!O14))</f>
        <v>4603.2896000000001</v>
      </c>
      <c r="P15" s="9">
        <f>+IF(P29="INF",O13*(1+Proyecciones!K$6)-P14,IF(P29="PIB",O13*(1+Proyecciones!K$5)*(1+Proyecciones!K$6)-P14,'Ventas externas'!O13+'Ventas externas'!P31-'Ventas externas'!P14))</f>
        <v>4787.4211839999998</v>
      </c>
      <c r="Q15" s="9">
        <f>+IF(Q29="INF",P13*(1+Proyecciones!L$6)-Q14,IF(Q29="PIB",P13*(1+Proyecciones!L$5)*(1+Proyecciones!L$6)-Q14,'Ventas externas'!P13+'Ventas externas'!Q31-'Ventas externas'!Q14))</f>
        <v>4978.91803136</v>
      </c>
      <c r="R15" s="9">
        <f>+IF(R29="INF",Q13*(1+Proyecciones!M$6)-R14,IF(R29="PIB",Q13*(1+Proyecciones!M$5)*(1+Proyecciones!M$6)-R14,'Ventas externas'!Q13+'Ventas externas'!R31-'Ventas externas'!R14))</f>
        <v>5178.0747526144005</v>
      </c>
      <c r="S15" s="9">
        <f>+IF(S29="INF",R13*(1+Proyecciones!N$6)-S14,IF(S29="PIB",R13*(1+Proyecciones!N$5)*(1+Proyecciones!N$6)-S14,'Ventas externas'!R13+'Ventas externas'!S31-'Ventas externas'!S14))</f>
        <v>5385.1977427189768</v>
      </c>
      <c r="T15" s="9">
        <f>+IF(T29="INF",S13*(1+Proyecciones!O$6)-T14,IF(T29="PIB",S13*(1+Proyecciones!O$5)*(1+Proyecciones!O$6)-T14,'Ventas externas'!S13+'Ventas externas'!T31-'Ventas externas'!T14))</f>
        <v>5600.6056524277365</v>
      </c>
      <c r="U15" s="9">
        <f>+IF(U29="INF",T13*(1+Proyecciones!P$6)-U14,IF(U29="PIB",T13*(1+Proyecciones!P$5)*(1+Proyecciones!P$6)-U14,'Ventas externas'!T13+'Ventas externas'!U31-'Ventas externas'!U14))</f>
        <v>5824.6298785248464</v>
      </c>
      <c r="V15" s="9">
        <f>+IF(V29="INF",U13*(1+Proyecciones!Q$6)-V14,IF(V29="PIB",U13*(1+Proyecciones!Q$5)*(1+Proyecciones!Q$6)-V14,'Ventas externas'!U13+'Ventas externas'!V31-'Ventas externas'!V14))</f>
        <v>6057.6150736658401</v>
      </c>
      <c r="W15" s="9">
        <f>+IF(W29="INF",V13*(1+Proyecciones!R$6)-W14,IF(W29="PIB",V13*(1+Proyecciones!R$5)*(1+Proyecciones!R$6)-W14,'Ventas externas'!V13+'Ventas externas'!W31-'Ventas externas'!W14))</f>
        <v>6299.9196766124742</v>
      </c>
      <c r="X15" s="9">
        <f>+IF(X29="INF",W13*(1+Proyecciones!S$6)-X14,IF(X29="PIB",W13*(1+Proyecciones!S$5)*(1+Proyecciones!S$6)-X14,'Ventas externas'!W13+'Ventas externas'!X31-'Ventas externas'!X14))</f>
        <v>6551.9164636769738</v>
      </c>
      <c r="Y15" s="9">
        <f>+IF(Y29="INF",X13*(1+Proyecciones!T$6)-Y14,IF(Y29="PIB",X13*(1+Proyecciones!T$5)*(1+Proyecciones!T$6)-Y14,'Ventas externas'!X13+'Ventas externas'!Y31-'Ventas externas'!Y14))</f>
        <v>6813.993122224053</v>
      </c>
      <c r="Z15" s="9">
        <f>+IF(Z29="INF",Y13*(1+Proyecciones!U$6)-Z14,IF(Z29="PIB",Y13*(1+Proyecciones!U$5)*(1+Proyecciones!U$6)-Z14,'Ventas externas'!Y13+'Ventas externas'!Z31-'Ventas externas'!Z14))</f>
        <v>7086.5528471130156</v>
      </c>
      <c r="AA15" s="9">
        <f>+IF(AA29="INF",Z13*(1+Proyecciones!V$6)-AA14,IF(AA29="PIB",Z13*(1+Proyecciones!V$5)*(1+Proyecciones!V$6)-AA14,'Ventas externas'!Z13+'Ventas externas'!AA31-'Ventas externas'!AA14))</f>
        <v>7370.014960997536</v>
      </c>
      <c r="AB15" s="9">
        <f>+IF(AB29="INF",AA13*(1+Proyecciones!W$6)-AB14,IF(AB29="PIB",AA13*(1+Proyecciones!W$5)*(1+Proyecciones!W$6)-AB14,'Ventas externas'!AA13+'Ventas externas'!AB31-'Ventas externas'!AB14))</f>
        <v>7664.8155594374375</v>
      </c>
      <c r="AC15" s="9">
        <f>+IF(AC29="INF",AB13*(1+Proyecciones!X$6)-AC14,IF(AC29="PIB",AB13*(1+Proyecciones!X$5)*(1+Proyecciones!X$6)-AC14,'Ventas externas'!AB13+'Ventas externas'!AC31-'Ventas externas'!AC14))</f>
        <v>7971.4081818149352</v>
      </c>
      <c r="AD15" s="9">
        <f>+IF(AD29="INF",AC13*(1+Proyecciones!Y$6)-AD14,IF(AD29="PIB",AC13*(1+Proyecciones!Y$5)*(1+Proyecciones!Y$6)-AD14,'Ventas externas'!AC13+'Ventas externas'!AD31-'Ventas externas'!AD14))</f>
        <v>8290.2645090875321</v>
      </c>
      <c r="AE15" s="9">
        <f>+IF(AE29="INF",AD13*(1+Proyecciones!Z$6)-AE14,IF(AE29="PIB",AD13*(1+Proyecciones!Z$5)*(1+Proyecciones!Z$6)-AE14,'Ventas externas'!AD13+'Ventas externas'!AE31-'Ventas externas'!AE14))</f>
        <v>8621.875089451034</v>
      </c>
      <c r="AF15" s="9">
        <f>+IF(AF29="INF",AE13*(1+Proyecciones!AA$6)-AF14,IF(AF29="PIB",AE13*(1+Proyecciones!AA$5)*(1+Proyecciones!AA$6)-AF14,'Ventas externas'!AE13+'Ventas externas'!AF31-'Ventas externas'!AF14))</f>
        <v>8966.7500930290753</v>
      </c>
    </row>
    <row r="16" spans="2:32" s="5" customFormat="1" outlineLevel="2" collapsed="1">
      <c r="B16" s="5" t="s">
        <v>9</v>
      </c>
      <c r="J16" s="9">
        <f>+SUBTOTAL(9,J17:J18)</f>
        <v>3652</v>
      </c>
      <c r="K16" s="9">
        <f t="shared" ref="K16:AF16" si="4">0+(+SUBTOTAL(9,K17:K18))</f>
        <v>3334</v>
      </c>
      <c r="L16" s="9">
        <f t="shared" si="4"/>
        <v>4000</v>
      </c>
      <c r="M16" s="171">
        <f>0+(+SUBTOTAL(9,M17:M18))</f>
        <v>2611</v>
      </c>
      <c r="N16" s="9">
        <f t="shared" si="4"/>
        <v>3611</v>
      </c>
      <c r="O16" s="9">
        <f t="shared" si="4"/>
        <v>3755.44</v>
      </c>
      <c r="P16" s="9">
        <f t="shared" si="4"/>
        <v>3905.6576</v>
      </c>
      <c r="Q16" s="9">
        <f t="shared" si="4"/>
        <v>0</v>
      </c>
      <c r="R16" s="9">
        <f t="shared" si="4"/>
        <v>0</v>
      </c>
      <c r="S16" s="9">
        <f t="shared" si="4"/>
        <v>0</v>
      </c>
      <c r="T16" s="9">
        <f t="shared" si="4"/>
        <v>0</v>
      </c>
      <c r="U16" s="9">
        <f t="shared" si="4"/>
        <v>0</v>
      </c>
      <c r="V16" s="9">
        <f t="shared" si="4"/>
        <v>0</v>
      </c>
      <c r="W16" s="9">
        <f t="shared" si="4"/>
        <v>0</v>
      </c>
      <c r="X16" s="9">
        <f t="shared" si="4"/>
        <v>0</v>
      </c>
      <c r="Y16" s="9">
        <f t="shared" si="4"/>
        <v>0</v>
      </c>
      <c r="Z16" s="9">
        <f t="shared" si="4"/>
        <v>0</v>
      </c>
      <c r="AA16" s="9">
        <f t="shared" si="4"/>
        <v>0</v>
      </c>
      <c r="AB16" s="9">
        <f t="shared" si="4"/>
        <v>0</v>
      </c>
      <c r="AC16" s="9">
        <f t="shared" si="4"/>
        <v>0</v>
      </c>
      <c r="AD16" s="9">
        <f t="shared" si="4"/>
        <v>0</v>
      </c>
      <c r="AE16" s="9">
        <f t="shared" si="4"/>
        <v>0</v>
      </c>
      <c r="AF16" s="9">
        <f t="shared" si="4"/>
        <v>0</v>
      </c>
    </row>
    <row r="17" spans="2:32" s="5" customFormat="1" hidden="1" outlineLevel="3">
      <c r="B17" s="6" t="s">
        <v>13</v>
      </c>
      <c r="C17" s="6"/>
      <c r="D17" s="6"/>
      <c r="E17" s="6"/>
      <c r="F17" s="6"/>
      <c r="G17" s="6"/>
      <c r="H17" s="6"/>
      <c r="J17" s="9">
        <v>3652</v>
      </c>
      <c r="K17" s="9">
        <v>3334</v>
      </c>
      <c r="L17" s="150">
        <v>4000</v>
      </c>
      <c r="M17" s="150">
        <f>+IF(M30="INF",L16*(1+Proyecciones!H$6),IF(M30="PIB",L16*(1+Proyecciones!H$5)*(1+Proyecciones!H$6),'Ventas externas'!L16+M30))</f>
        <v>2611</v>
      </c>
      <c r="N17" s="150">
        <f>+IF(N30="INF",M16*(1+Proyecciones!I$6),IF(N30="PIB",M16*(1+Proyecciones!I$5)*(1+Proyecciones!I$6),'Ventas externas'!M16+N30))</f>
        <v>3611</v>
      </c>
      <c r="O17" s="150">
        <f>+IF(O30="INF",N16*(1+Proyecciones!J$6),IF(O30="PIB",N16*(1+Proyecciones!J$5)*(1+Proyecciones!J$6),'Ventas externas'!N16+O30))</f>
        <v>3755.44</v>
      </c>
      <c r="P17" s="150">
        <f>+IF(P30="INF",O16*(1+Proyecciones!K$6),IF(P30="PIB",O16*(1+Proyecciones!K$5)*(1+Proyecciones!K$6),'Ventas externas'!O16+P30))</f>
        <v>3905.6576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2:32" s="5" customFormat="1" hidden="1" outlineLevel="3">
      <c r="B18" s="6" t="s">
        <v>14</v>
      </c>
      <c r="C18" s="6"/>
      <c r="D18" s="6"/>
      <c r="E18" s="6"/>
      <c r="F18" s="6"/>
      <c r="G18" s="6"/>
      <c r="H18" s="6"/>
      <c r="J18" s="9"/>
      <c r="K18" s="9"/>
      <c r="L18" s="174"/>
      <c r="M18" s="171">
        <f>+IF(M30="INF",L16*(1+Proyecciones!H$6)-M17,IF(M30="PIB",L16*(1+Proyecciones!H$5)*(1+Proyecciones!H$6)-M17,'Ventas externas'!L16+M30-'Ventas externas'!M17))</f>
        <v>0</v>
      </c>
      <c r="N18" s="9">
        <f>+IF(N30="INF",M16*(1+Proyecciones!I$6)-N17,IF(N30="PIB",M16*(1+Proyecciones!I$5)*(1+Proyecciones!I$6)-N17,'Ventas externas'!M16+N30-'Ventas externas'!N17))</f>
        <v>0</v>
      </c>
      <c r="O18" s="9">
        <f>+IF(O30="INF",N16*(1+Proyecciones!J$6)-O17,IF(O30="PIB",N16*(1+Proyecciones!J$5)*(1+Proyecciones!J$6)-O17,'Ventas externas'!N16+O30-'Ventas externas'!O17))</f>
        <v>0</v>
      </c>
      <c r="P18" s="9">
        <f>+IF(P30="INF",O16*(1+Proyecciones!K$6)-P17,IF(P30="PIB",O16*(1+Proyecciones!K$5)*(1+Proyecciones!K$6)-P17,'Ventas externas'!O16+P30-'Ventas externas'!P17))</f>
        <v>0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2:32" s="5" customFormat="1" outlineLevel="2" collapsed="1">
      <c r="B19" s="5" t="s">
        <v>25</v>
      </c>
      <c r="J19" s="9">
        <v>1956</v>
      </c>
      <c r="K19" s="9">
        <v>3115</v>
      </c>
      <c r="L19" s="150">
        <v>0</v>
      </c>
      <c r="M19" s="171">
        <f>+L19</f>
        <v>0</v>
      </c>
      <c r="N19" s="9">
        <f t="shared" ref="N19:AF19" si="5">+M19</f>
        <v>0</v>
      </c>
      <c r="O19" s="9">
        <f t="shared" si="5"/>
        <v>0</v>
      </c>
      <c r="P19" s="9">
        <f t="shared" si="5"/>
        <v>0</v>
      </c>
      <c r="Q19" s="9">
        <f t="shared" si="5"/>
        <v>0</v>
      </c>
      <c r="R19" s="9">
        <f t="shared" si="5"/>
        <v>0</v>
      </c>
      <c r="S19" s="9">
        <f t="shared" si="5"/>
        <v>0</v>
      </c>
      <c r="T19" s="9">
        <f t="shared" si="5"/>
        <v>0</v>
      </c>
      <c r="U19" s="9">
        <f t="shared" si="5"/>
        <v>0</v>
      </c>
      <c r="V19" s="9">
        <f t="shared" si="5"/>
        <v>0</v>
      </c>
      <c r="W19" s="9">
        <f t="shared" si="5"/>
        <v>0</v>
      </c>
      <c r="X19" s="9">
        <f t="shared" si="5"/>
        <v>0</v>
      </c>
      <c r="Y19" s="9">
        <f t="shared" si="5"/>
        <v>0</v>
      </c>
      <c r="Z19" s="9">
        <f t="shared" si="5"/>
        <v>0</v>
      </c>
      <c r="AA19" s="9">
        <f t="shared" si="5"/>
        <v>0</v>
      </c>
      <c r="AB19" s="9">
        <f t="shared" si="5"/>
        <v>0</v>
      </c>
      <c r="AC19" s="9">
        <f t="shared" si="5"/>
        <v>0</v>
      </c>
      <c r="AD19" s="9">
        <f t="shared" si="5"/>
        <v>0</v>
      </c>
      <c r="AE19" s="9">
        <f t="shared" si="5"/>
        <v>0</v>
      </c>
      <c r="AF19" s="9">
        <f t="shared" si="5"/>
        <v>0</v>
      </c>
    </row>
    <row r="20" spans="2:32" s="5" customFormat="1" outlineLevel="2">
      <c r="B20" s="5" t="s">
        <v>39</v>
      </c>
      <c r="J20" s="9"/>
      <c r="K20" s="9">
        <v>1376</v>
      </c>
      <c r="L20" s="150">
        <v>0</v>
      </c>
      <c r="M20" s="171">
        <f t="shared" ref="M20:AF20" si="6">+L20</f>
        <v>0</v>
      </c>
      <c r="N20" s="9">
        <f t="shared" si="6"/>
        <v>0</v>
      </c>
      <c r="O20" s="9">
        <f t="shared" si="6"/>
        <v>0</v>
      </c>
      <c r="P20" s="9">
        <f t="shared" si="6"/>
        <v>0</v>
      </c>
      <c r="Q20" s="9">
        <f t="shared" si="6"/>
        <v>0</v>
      </c>
      <c r="R20" s="9">
        <f t="shared" si="6"/>
        <v>0</v>
      </c>
      <c r="S20" s="9">
        <f t="shared" si="6"/>
        <v>0</v>
      </c>
      <c r="T20" s="9">
        <f t="shared" si="6"/>
        <v>0</v>
      </c>
      <c r="U20" s="9">
        <f t="shared" si="6"/>
        <v>0</v>
      </c>
      <c r="V20" s="9">
        <f t="shared" si="6"/>
        <v>0</v>
      </c>
      <c r="W20" s="9">
        <f t="shared" si="6"/>
        <v>0</v>
      </c>
      <c r="X20" s="9">
        <f t="shared" si="6"/>
        <v>0</v>
      </c>
      <c r="Y20" s="9">
        <f t="shared" si="6"/>
        <v>0</v>
      </c>
      <c r="Z20" s="9">
        <f t="shared" si="6"/>
        <v>0</v>
      </c>
      <c r="AA20" s="9">
        <f t="shared" si="6"/>
        <v>0</v>
      </c>
      <c r="AB20" s="9">
        <f t="shared" si="6"/>
        <v>0</v>
      </c>
      <c r="AC20" s="9">
        <f t="shared" si="6"/>
        <v>0</v>
      </c>
      <c r="AD20" s="9">
        <f t="shared" si="6"/>
        <v>0</v>
      </c>
      <c r="AE20" s="9">
        <f t="shared" si="6"/>
        <v>0</v>
      </c>
      <c r="AF20" s="9">
        <f t="shared" si="6"/>
        <v>0</v>
      </c>
    </row>
    <row r="21" spans="2:32" s="5" customFormat="1" outlineLevel="2">
      <c r="B21" s="5" t="s">
        <v>40</v>
      </c>
      <c r="J21" s="9"/>
      <c r="K21" s="9">
        <v>412</v>
      </c>
      <c r="L21" s="150">
        <v>0</v>
      </c>
      <c r="M21" s="171">
        <f t="shared" ref="M21:AF21" si="7">+L21</f>
        <v>0</v>
      </c>
      <c r="N21" s="9">
        <f t="shared" si="7"/>
        <v>0</v>
      </c>
      <c r="O21" s="9">
        <f t="shared" si="7"/>
        <v>0</v>
      </c>
      <c r="P21" s="9">
        <f t="shared" si="7"/>
        <v>0</v>
      </c>
      <c r="Q21" s="9">
        <f t="shared" si="7"/>
        <v>0</v>
      </c>
      <c r="R21" s="9">
        <f t="shared" si="7"/>
        <v>0</v>
      </c>
      <c r="S21" s="9">
        <f t="shared" si="7"/>
        <v>0</v>
      </c>
      <c r="T21" s="9">
        <f t="shared" si="7"/>
        <v>0</v>
      </c>
      <c r="U21" s="9">
        <f t="shared" si="7"/>
        <v>0</v>
      </c>
      <c r="V21" s="9">
        <f t="shared" si="7"/>
        <v>0</v>
      </c>
      <c r="W21" s="9">
        <f t="shared" si="7"/>
        <v>0</v>
      </c>
      <c r="X21" s="9">
        <f t="shared" si="7"/>
        <v>0</v>
      </c>
      <c r="Y21" s="9">
        <f t="shared" si="7"/>
        <v>0</v>
      </c>
      <c r="Z21" s="9">
        <f t="shared" si="7"/>
        <v>0</v>
      </c>
      <c r="AA21" s="9">
        <f t="shared" si="7"/>
        <v>0</v>
      </c>
      <c r="AB21" s="9">
        <f t="shared" si="7"/>
        <v>0</v>
      </c>
      <c r="AC21" s="9">
        <f t="shared" si="7"/>
        <v>0</v>
      </c>
      <c r="AD21" s="9">
        <f t="shared" si="7"/>
        <v>0</v>
      </c>
      <c r="AE21" s="9">
        <f t="shared" si="7"/>
        <v>0</v>
      </c>
      <c r="AF21" s="9">
        <f t="shared" si="7"/>
        <v>0</v>
      </c>
    </row>
    <row r="22" spans="2:32" s="5" customFormat="1" outlineLevel="2">
      <c r="B22" s="6"/>
      <c r="C22" s="6"/>
      <c r="D22" s="6"/>
      <c r="E22" s="6"/>
      <c r="F22" s="6"/>
      <c r="G22" s="6"/>
      <c r="H22" s="6"/>
      <c r="J22" s="9"/>
      <c r="K22" s="9"/>
      <c r="L22" s="9"/>
      <c r="M22" s="171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2:32" outlineLevel="1">
      <c r="B23" s="5"/>
      <c r="C23" s="5"/>
      <c r="D23" s="5"/>
      <c r="E23" s="5"/>
      <c r="F23" s="5"/>
      <c r="G23" s="5"/>
      <c r="H23" s="5"/>
      <c r="J23" s="2"/>
    </row>
    <row r="25" spans="2:32">
      <c r="B25" s="14" t="s">
        <v>301</v>
      </c>
      <c r="C25" s="14"/>
      <c r="D25" s="14"/>
      <c r="E25" s="14"/>
      <c r="F25" s="14"/>
      <c r="G25" s="14"/>
      <c r="H25" s="14"/>
      <c r="I25" s="14"/>
      <c r="J25" s="14">
        <f>+J4</f>
        <v>0</v>
      </c>
      <c r="K25" s="14">
        <f t="shared" ref="K25:AF25" si="8">+K4</f>
        <v>2018</v>
      </c>
      <c r="L25" s="14">
        <f t="shared" si="8"/>
        <v>2019</v>
      </c>
      <c r="M25" s="172">
        <f t="shared" si="8"/>
        <v>2020</v>
      </c>
      <c r="N25" s="14">
        <f t="shared" si="8"/>
        <v>2021</v>
      </c>
      <c r="O25" s="14">
        <f t="shared" si="8"/>
        <v>2022</v>
      </c>
      <c r="P25" s="14">
        <f t="shared" si="8"/>
        <v>2023</v>
      </c>
      <c r="Q25" s="14">
        <f t="shared" si="8"/>
        <v>2024</v>
      </c>
      <c r="R25" s="14" t="s">
        <v>300</v>
      </c>
      <c r="S25" s="14">
        <f t="shared" si="8"/>
        <v>2026</v>
      </c>
      <c r="T25" s="14">
        <f t="shared" si="8"/>
        <v>2027</v>
      </c>
      <c r="U25" s="14">
        <f t="shared" si="8"/>
        <v>2028</v>
      </c>
      <c r="V25" s="14">
        <f t="shared" si="8"/>
        <v>2029</v>
      </c>
      <c r="W25" s="14">
        <f t="shared" si="8"/>
        <v>2030</v>
      </c>
      <c r="X25" s="14">
        <f t="shared" si="8"/>
        <v>2031</v>
      </c>
      <c r="Y25" s="14">
        <f t="shared" si="8"/>
        <v>2032</v>
      </c>
      <c r="Z25" s="14">
        <f t="shared" si="8"/>
        <v>2033</v>
      </c>
      <c r="AA25" s="14">
        <f t="shared" si="8"/>
        <v>2034</v>
      </c>
      <c r="AB25" s="14">
        <f t="shared" si="8"/>
        <v>2035</v>
      </c>
      <c r="AC25" s="14">
        <f t="shared" si="8"/>
        <v>2036</v>
      </c>
      <c r="AD25" s="14">
        <f t="shared" si="8"/>
        <v>2037</v>
      </c>
      <c r="AE25" s="14">
        <f t="shared" si="8"/>
        <v>2038</v>
      </c>
      <c r="AF25" s="14">
        <f t="shared" si="8"/>
        <v>2039</v>
      </c>
    </row>
    <row r="26" spans="2:32">
      <c r="B26" s="14" t="s">
        <v>34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2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2:32">
      <c r="B27" s="15" t="s">
        <v>612</v>
      </c>
      <c r="C27" s="15"/>
      <c r="D27" s="15"/>
      <c r="E27" s="15"/>
      <c r="F27" s="15"/>
      <c r="G27" s="15"/>
      <c r="H27" s="15" t="s">
        <v>347</v>
      </c>
      <c r="I27" s="14"/>
      <c r="J27" s="14"/>
      <c r="K27" s="14"/>
      <c r="L27" s="14"/>
      <c r="M27" s="151">
        <v>-2000</v>
      </c>
      <c r="N27" s="151">
        <v>0</v>
      </c>
      <c r="O27" s="151">
        <v>500</v>
      </c>
      <c r="P27" s="151" t="s">
        <v>37</v>
      </c>
      <c r="Q27" s="151" t="s">
        <v>37</v>
      </c>
      <c r="R27" s="151" t="s">
        <v>37</v>
      </c>
      <c r="S27" s="151" t="s">
        <v>37</v>
      </c>
      <c r="T27" s="151" t="s">
        <v>37</v>
      </c>
      <c r="U27" s="151" t="str">
        <f>+S27</f>
        <v>INF</v>
      </c>
      <c r="V27" s="151" t="str">
        <f t="shared" ref="V27:AF27" si="9">+T27</f>
        <v>INF</v>
      </c>
      <c r="W27" s="151" t="str">
        <f t="shared" si="9"/>
        <v>INF</v>
      </c>
      <c r="X27" s="151" t="str">
        <f t="shared" si="9"/>
        <v>INF</v>
      </c>
      <c r="Y27" s="151" t="str">
        <f t="shared" si="9"/>
        <v>INF</v>
      </c>
      <c r="Z27" s="151" t="str">
        <f t="shared" si="9"/>
        <v>INF</v>
      </c>
      <c r="AA27" s="151" t="str">
        <f t="shared" si="9"/>
        <v>INF</v>
      </c>
      <c r="AB27" s="151" t="str">
        <f t="shared" si="9"/>
        <v>INF</v>
      </c>
      <c r="AC27" s="151" t="str">
        <f t="shared" si="9"/>
        <v>INF</v>
      </c>
      <c r="AD27" s="151" t="str">
        <f t="shared" si="9"/>
        <v>INF</v>
      </c>
      <c r="AE27" s="151" t="str">
        <f t="shared" si="9"/>
        <v>INF</v>
      </c>
      <c r="AF27" s="151" t="str">
        <f t="shared" si="9"/>
        <v>INF</v>
      </c>
    </row>
    <row r="28" spans="2:32">
      <c r="B28" s="15" t="s">
        <v>6</v>
      </c>
      <c r="C28" s="15"/>
      <c r="D28" s="15"/>
      <c r="E28" s="15"/>
      <c r="F28" s="15"/>
      <c r="G28" s="15"/>
      <c r="H28" s="15"/>
      <c r="I28" s="14"/>
      <c r="J28" s="14"/>
      <c r="K28" s="14" t="s">
        <v>322</v>
      </c>
      <c r="L28" s="14"/>
      <c r="M28" s="151">
        <v>-30000</v>
      </c>
      <c r="N28" s="173">
        <v>40000</v>
      </c>
      <c r="O28" s="173">
        <v>30000</v>
      </c>
      <c r="P28" s="211">
        <v>65000</v>
      </c>
      <c r="Q28" s="211">
        <v>65940</v>
      </c>
      <c r="R28" s="211" t="s">
        <v>35</v>
      </c>
      <c r="S28" s="211" t="str">
        <f>+R28</f>
        <v>PIB</v>
      </c>
      <c r="T28" s="151" t="s">
        <v>35</v>
      </c>
      <c r="U28" s="151" t="s">
        <v>35</v>
      </c>
      <c r="V28" s="151" t="s">
        <v>35</v>
      </c>
      <c r="W28" s="151" t="s">
        <v>35</v>
      </c>
      <c r="X28" s="151" t="s">
        <v>35</v>
      </c>
      <c r="Y28" s="151" t="s">
        <v>35</v>
      </c>
      <c r="Z28" s="151" t="s">
        <v>35</v>
      </c>
      <c r="AA28" s="151" t="s">
        <v>35</v>
      </c>
      <c r="AB28" s="151" t="s">
        <v>35</v>
      </c>
      <c r="AC28" s="151" t="s">
        <v>35</v>
      </c>
      <c r="AD28" s="151" t="s">
        <v>35</v>
      </c>
      <c r="AE28" s="151" t="s">
        <v>35</v>
      </c>
      <c r="AF28" s="151" t="s">
        <v>35</v>
      </c>
    </row>
    <row r="29" spans="2:32">
      <c r="B29" s="15" t="s">
        <v>8</v>
      </c>
      <c r="C29" s="15"/>
      <c r="D29" s="15"/>
      <c r="E29" s="15"/>
      <c r="F29" s="15"/>
      <c r="G29" s="15"/>
      <c r="H29" s="15"/>
      <c r="I29" s="14"/>
      <c r="J29" s="14"/>
      <c r="K29" s="14"/>
      <c r="L29" s="14"/>
      <c r="M29" s="151">
        <v>0</v>
      </c>
      <c r="N29" s="151" t="s">
        <v>37</v>
      </c>
      <c r="O29" s="151" t="s">
        <v>37</v>
      </c>
      <c r="P29" s="151" t="s">
        <v>37</v>
      </c>
      <c r="Q29" s="151" t="s">
        <v>37</v>
      </c>
      <c r="R29" s="151" t="s">
        <v>37</v>
      </c>
      <c r="S29" s="151" t="s">
        <v>37</v>
      </c>
      <c r="T29" s="151" t="s">
        <v>37</v>
      </c>
      <c r="U29" s="151" t="s">
        <v>37</v>
      </c>
      <c r="V29" s="151" t="s">
        <v>37</v>
      </c>
      <c r="W29" s="151" t="s">
        <v>37</v>
      </c>
      <c r="X29" s="151" t="s">
        <v>37</v>
      </c>
      <c r="Y29" s="151" t="s">
        <v>37</v>
      </c>
      <c r="Z29" s="151" t="s">
        <v>37</v>
      </c>
      <c r="AA29" s="151" t="s">
        <v>37</v>
      </c>
      <c r="AB29" s="151" t="s">
        <v>37</v>
      </c>
      <c r="AC29" s="151" t="s">
        <v>37</v>
      </c>
      <c r="AD29" s="151" t="s">
        <v>37</v>
      </c>
      <c r="AE29" s="151" t="s">
        <v>37</v>
      </c>
      <c r="AF29" s="151" t="s">
        <v>37</v>
      </c>
    </row>
    <row r="30" spans="2:32">
      <c r="B30" s="15" t="str">
        <f>+B16</f>
        <v>Renta Activos</v>
      </c>
      <c r="C30" s="15"/>
      <c r="D30" s="15"/>
      <c r="E30" s="15"/>
      <c r="F30" s="15"/>
      <c r="G30" s="15"/>
      <c r="H30" s="15"/>
      <c r="I30" s="14"/>
      <c r="J30" s="14"/>
      <c r="K30" s="14"/>
      <c r="L30" s="14"/>
      <c r="M30" s="151">
        <v>-1389</v>
      </c>
      <c r="N30" s="151">
        <v>1000</v>
      </c>
      <c r="O30" s="151" t="s">
        <v>37</v>
      </c>
      <c r="P30" s="151" t="s">
        <v>37</v>
      </c>
      <c r="Q30" s="151" t="s">
        <v>38</v>
      </c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</row>
    <row r="31" spans="2:32">
      <c r="M31" s="55">
        <f>+M10/L10</f>
        <v>0.76923076923076927</v>
      </c>
      <c r="N31" s="55">
        <f>+N10/M10</f>
        <v>1.4</v>
      </c>
      <c r="O31" s="55">
        <f>+O10/N10</f>
        <v>1.2142857142857142</v>
      </c>
    </row>
    <row r="33" spans="12:19">
      <c r="M33" s="226">
        <f>+M34+L34</f>
        <v>155000</v>
      </c>
      <c r="N33" s="226">
        <f t="shared" ref="N33:S33" si="10">+M33+N34</f>
        <v>195000</v>
      </c>
      <c r="O33" s="226">
        <f t="shared" si="10"/>
        <v>235000</v>
      </c>
      <c r="P33" s="226">
        <f t="shared" si="10"/>
        <v>275000</v>
      </c>
      <c r="Q33" s="226">
        <f t="shared" si="10"/>
        <v>315000</v>
      </c>
      <c r="R33" s="226">
        <f t="shared" si="10"/>
        <v>355000</v>
      </c>
      <c r="S33" s="226">
        <f t="shared" si="10"/>
        <v>395000</v>
      </c>
    </row>
    <row r="34" spans="12:19">
      <c r="L34" s="3">
        <f>+L10</f>
        <v>130000</v>
      </c>
      <c r="M34" s="151">
        <v>25000</v>
      </c>
      <c r="N34" s="173">
        <v>40000</v>
      </c>
      <c r="O34" s="173">
        <v>40000</v>
      </c>
      <c r="P34" s="211">
        <f>+O34</f>
        <v>40000</v>
      </c>
      <c r="Q34" s="211">
        <f>+P34</f>
        <v>40000</v>
      </c>
      <c r="R34" s="211">
        <f>+Q34</f>
        <v>40000</v>
      </c>
      <c r="S34" s="211">
        <f>+R34</f>
        <v>40000</v>
      </c>
    </row>
    <row r="35" spans="12:19">
      <c r="L35" s="3">
        <f>+L34</f>
        <v>130000</v>
      </c>
      <c r="M35" s="151">
        <v>25000</v>
      </c>
      <c r="N35" s="173">
        <v>100000</v>
      </c>
      <c r="O35" s="173">
        <v>100000</v>
      </c>
      <c r="P35" s="211" t="s">
        <v>35</v>
      </c>
      <c r="Q35" s="211" t="s">
        <v>35</v>
      </c>
      <c r="R35" s="211" t="str">
        <f>+Q35</f>
        <v>PIB</v>
      </c>
      <c r="S35" s="211" t="str">
        <f>+R35</f>
        <v>PIB</v>
      </c>
    </row>
    <row r="36" spans="12:19">
      <c r="M36" s="226">
        <f>+M35+L35</f>
        <v>155000</v>
      </c>
      <c r="N36" s="3">
        <f>+M36+N35</f>
        <v>255000</v>
      </c>
      <c r="O36" s="3">
        <f>+N36+O35</f>
        <v>355000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357"/>
  <sheetViews>
    <sheetView showGridLines="0" topLeftCell="A249" zoomScale="150" zoomScaleNormal="150" zoomScalePageLayoutView="150" workbookViewId="0">
      <selection activeCell="I264" sqref="I264"/>
    </sheetView>
  </sheetViews>
  <sheetFormatPr baseColWidth="10" defaultRowHeight="16" outlineLevelRow="2"/>
  <cols>
    <col min="2" max="2" width="26.5" bestFit="1" customWidth="1"/>
    <col min="3" max="3" width="18.33203125" customWidth="1"/>
    <col min="4" max="4" width="6.83203125" style="7" customWidth="1"/>
    <col min="5" max="5" width="10.83203125" customWidth="1"/>
    <col min="6" max="6" width="15" bestFit="1" customWidth="1"/>
    <col min="8" max="8" width="6.33203125" customWidth="1"/>
    <col min="10" max="10" width="20.33203125" bestFit="1" customWidth="1"/>
    <col min="11" max="11" width="11.83203125" bestFit="1" customWidth="1"/>
    <col min="13" max="13" width="14.33203125" bestFit="1" customWidth="1"/>
  </cols>
  <sheetData>
    <row r="2" spans="2:11">
      <c r="D2" s="7" t="s">
        <v>196</v>
      </c>
    </row>
    <row r="3" spans="2:11">
      <c r="D3" s="7" t="s">
        <v>206</v>
      </c>
    </row>
    <row r="4" spans="2:11">
      <c r="D4" s="7" t="s">
        <v>205</v>
      </c>
    </row>
    <row r="6" spans="2:11" ht="17" thickBot="1">
      <c r="B6" t="s">
        <v>3</v>
      </c>
      <c r="C6" t="s">
        <v>193</v>
      </c>
      <c r="D6" s="7" t="s">
        <v>194</v>
      </c>
      <c r="E6" t="s">
        <v>190</v>
      </c>
      <c r="F6" t="s">
        <v>192</v>
      </c>
      <c r="G6" t="s">
        <v>193</v>
      </c>
      <c r="H6" t="s">
        <v>194</v>
      </c>
    </row>
    <row r="7" spans="2:11" ht="17" thickTop="1">
      <c r="B7" s="175" t="s">
        <v>236</v>
      </c>
      <c r="C7" s="176"/>
      <c r="D7" s="199"/>
      <c r="E7" s="176" t="s">
        <v>191</v>
      </c>
      <c r="F7" s="176"/>
      <c r="G7" s="177"/>
    </row>
    <row r="8" spans="2:11" outlineLevel="1">
      <c r="B8" s="178" t="s">
        <v>223</v>
      </c>
      <c r="C8" s="179">
        <f>202+296</f>
        <v>498</v>
      </c>
      <c r="D8" s="200"/>
      <c r="E8" s="14"/>
      <c r="F8" s="14"/>
      <c r="G8" s="180"/>
    </row>
    <row r="9" spans="2:11" outlineLevel="1">
      <c r="B9" s="178" t="s">
        <v>335</v>
      </c>
      <c r="C9" s="181">
        <f>1%/C18</f>
        <v>1.6666666666666666E-2</v>
      </c>
      <c r="D9" s="200" t="s">
        <v>195</v>
      </c>
      <c r="E9" s="182">
        <v>1</v>
      </c>
      <c r="F9" s="182">
        <v>0</v>
      </c>
      <c r="G9" s="183">
        <f>+C9*C18</f>
        <v>0.01</v>
      </c>
      <c r="H9" t="s">
        <v>204</v>
      </c>
      <c r="J9" s="13"/>
    </row>
    <row r="10" spans="2:11" outlineLevel="1">
      <c r="B10" s="178" t="s">
        <v>336</v>
      </c>
      <c r="C10" s="181">
        <v>0</v>
      </c>
      <c r="D10" s="200" t="s">
        <v>195</v>
      </c>
      <c r="E10" s="182">
        <v>0</v>
      </c>
      <c r="F10" s="182">
        <v>0</v>
      </c>
      <c r="G10" s="183">
        <f>+C10*$C$18</f>
        <v>0</v>
      </c>
      <c r="H10" t="s">
        <v>204</v>
      </c>
      <c r="J10" s="1"/>
      <c r="K10" s="1"/>
    </row>
    <row r="11" spans="2:11" outlineLevel="1">
      <c r="B11" s="178" t="s">
        <v>337</v>
      </c>
      <c r="C11" s="184">
        <f>5%/C18</f>
        <v>8.3333333333333343E-2</v>
      </c>
      <c r="D11" s="200" t="s">
        <v>195</v>
      </c>
      <c r="E11" s="182">
        <v>1</v>
      </c>
      <c r="F11" s="182">
        <v>0</v>
      </c>
      <c r="G11" s="183">
        <f>+C11*$C$18</f>
        <v>0.05</v>
      </c>
      <c r="H11" t="s">
        <v>204</v>
      </c>
    </row>
    <row r="12" spans="2:11" outlineLevel="1">
      <c r="B12" s="178" t="s">
        <v>338</v>
      </c>
      <c r="C12" s="15"/>
      <c r="D12" s="200"/>
      <c r="E12" s="14">
        <f>IFERROR(+(E13*C13+E14*C14+E15*C15)/(C13+C14+C15),50%)</f>
        <v>0.54545454545454541</v>
      </c>
      <c r="F12" s="14">
        <f>+IFERROR((F13*C13+F14*C14+F15*C15)/(C13+C14+C15),50%)</f>
        <v>0.45454545454545459</v>
      </c>
      <c r="G12" s="180"/>
    </row>
    <row r="13" spans="2:11" outlineLevel="2">
      <c r="B13" s="185" t="s">
        <v>339</v>
      </c>
      <c r="C13" s="186">
        <v>0</v>
      </c>
      <c r="D13" s="200" t="s">
        <v>204</v>
      </c>
      <c r="E13" s="182">
        <v>0.5</v>
      </c>
      <c r="F13" s="182">
        <v>0.5</v>
      </c>
      <c r="G13" s="180"/>
    </row>
    <row r="14" spans="2:11" outlineLevel="2">
      <c r="B14" s="185" t="s">
        <v>340</v>
      </c>
      <c r="C14" s="186">
        <v>2.5000000000000001E-2</v>
      </c>
      <c r="D14" s="200" t="s">
        <v>204</v>
      </c>
      <c r="E14" s="182">
        <v>0</v>
      </c>
      <c r="F14" s="182">
        <v>1</v>
      </c>
      <c r="G14" s="180"/>
    </row>
    <row r="15" spans="2:11" outlineLevel="2">
      <c r="B15" s="185" t="s">
        <v>341</v>
      </c>
      <c r="C15" s="186">
        <v>0.03</v>
      </c>
      <c r="D15" s="200" t="s">
        <v>204</v>
      </c>
      <c r="E15" s="182">
        <v>1</v>
      </c>
      <c r="F15" s="182">
        <v>0</v>
      </c>
      <c r="G15" s="180"/>
    </row>
    <row r="16" spans="2:11" outlineLevel="1">
      <c r="B16" s="178" t="s">
        <v>199</v>
      </c>
      <c r="C16" s="187">
        <v>7.1059999999999998E-2</v>
      </c>
      <c r="D16" s="200" t="s">
        <v>204</v>
      </c>
      <c r="E16" s="182">
        <v>0.5</v>
      </c>
      <c r="F16" s="182">
        <v>0.5</v>
      </c>
      <c r="G16" s="180"/>
    </row>
    <row r="17" spans="2:7" outlineLevel="1">
      <c r="B17" s="178" t="s">
        <v>197</v>
      </c>
      <c r="C17" s="14"/>
      <c r="D17" s="200"/>
      <c r="E17" s="182">
        <v>1</v>
      </c>
      <c r="F17" s="182">
        <v>0</v>
      </c>
      <c r="G17" s="180"/>
    </row>
    <row r="18" spans="2:7" outlineLevel="1">
      <c r="B18" s="178" t="s">
        <v>198</v>
      </c>
      <c r="C18" s="182">
        <v>0.6</v>
      </c>
      <c r="D18" s="200" t="s">
        <v>204</v>
      </c>
      <c r="E18" s="14"/>
      <c r="F18" s="14"/>
      <c r="G18" s="180"/>
    </row>
    <row r="19" spans="2:7" outlineLevel="1">
      <c r="B19" s="178"/>
      <c r="C19" s="188"/>
      <c r="D19" s="200"/>
      <c r="E19" s="14"/>
      <c r="F19" s="14"/>
      <c r="G19" s="180"/>
    </row>
    <row r="20" spans="2:7" outlineLevel="1">
      <c r="B20" s="178"/>
      <c r="C20" s="188" t="s">
        <v>214</v>
      </c>
      <c r="D20" s="200"/>
      <c r="E20" s="14" t="s">
        <v>96</v>
      </c>
      <c r="F20" s="14" t="s">
        <v>212</v>
      </c>
      <c r="G20" s="180" t="s">
        <v>213</v>
      </c>
    </row>
    <row r="21" spans="2:7" outlineLevel="1">
      <c r="B21" s="178" t="s">
        <v>207</v>
      </c>
      <c r="C21" s="189">
        <f>+C24+C25+C26+C27+C29</f>
        <v>0.15777545454545452</v>
      </c>
      <c r="D21" s="200"/>
      <c r="E21" s="190">
        <f>+E24+E25+E26+E27+E29</f>
        <v>0.84222454545454539</v>
      </c>
      <c r="F21" s="190">
        <f>+E21+C21</f>
        <v>0.99999999999999989</v>
      </c>
      <c r="G21" s="191">
        <f>+F21-1</f>
        <v>0</v>
      </c>
    </row>
    <row r="22" spans="2:7" outlineLevel="1">
      <c r="B22" s="178" t="s">
        <v>215</v>
      </c>
      <c r="C22" s="189">
        <f>+C24+C25+C26+(C27-C28)+C31</f>
        <v>6.053E-2</v>
      </c>
      <c r="D22" s="200"/>
      <c r="E22" s="189">
        <f>+E24+E25+E26+(E27-E28)+E31</f>
        <v>0.12553000000000003</v>
      </c>
      <c r="F22" s="190">
        <f>+E22+C22</f>
        <v>0.18606000000000003</v>
      </c>
      <c r="G22" s="191">
        <f>+F22-G9-G10-G11-C16-C13-C14-C15</f>
        <v>0</v>
      </c>
    </row>
    <row r="23" spans="2:7" outlineLevel="1">
      <c r="B23" s="178"/>
      <c r="C23" s="188">
        <f>+C22/C21</f>
        <v>0.38364649415452345</v>
      </c>
      <c r="D23" s="200"/>
      <c r="E23" s="188">
        <f>+E22/E21</f>
        <v>0.14904576300641056</v>
      </c>
      <c r="F23" s="14"/>
      <c r="G23" s="180"/>
    </row>
    <row r="24" spans="2:7" outlineLevel="1">
      <c r="B24" s="178" t="s">
        <v>200</v>
      </c>
      <c r="C24" s="192">
        <f>IF(Arq="Si",0,+G9*F9)</f>
        <v>0</v>
      </c>
      <c r="D24" s="200" t="s">
        <v>204</v>
      </c>
      <c r="E24" s="193">
        <f>+E9*G9</f>
        <v>0.01</v>
      </c>
      <c r="F24" s="190">
        <f t="shared" ref="F24:F29" si="0">+E24+C24</f>
        <v>0.01</v>
      </c>
      <c r="G24" s="194">
        <f>+F24-G9</f>
        <v>0</v>
      </c>
    </row>
    <row r="25" spans="2:7" outlineLevel="1">
      <c r="B25" s="178" t="s">
        <v>202</v>
      </c>
      <c r="C25" s="193">
        <f>+G10*F10</f>
        <v>0</v>
      </c>
      <c r="D25" s="200" t="s">
        <v>204</v>
      </c>
      <c r="E25" s="193">
        <f>+E10*G10</f>
        <v>0</v>
      </c>
      <c r="F25" s="190">
        <f t="shared" si="0"/>
        <v>0</v>
      </c>
      <c r="G25" s="194">
        <f>+F25-G10</f>
        <v>0</v>
      </c>
    </row>
    <row r="26" spans="2:7" outlineLevel="1">
      <c r="B26" s="178" t="s">
        <v>203</v>
      </c>
      <c r="C26" s="193">
        <f>+C16*E16</f>
        <v>3.5529999999999999E-2</v>
      </c>
      <c r="D26" s="200" t="s">
        <v>204</v>
      </c>
      <c r="E26" s="193">
        <f>+C16*F16</f>
        <v>3.5529999999999999E-2</v>
      </c>
      <c r="F26" s="190">
        <f t="shared" si="0"/>
        <v>7.1059999999999998E-2</v>
      </c>
      <c r="G26" s="194">
        <f>+F26-C16</f>
        <v>0</v>
      </c>
    </row>
    <row r="27" spans="2:7" outlineLevel="1">
      <c r="B27" s="178" t="s">
        <v>201</v>
      </c>
      <c r="C27" s="193">
        <f>+F11*(C18+G11)</f>
        <v>0</v>
      </c>
      <c r="D27" s="200" t="s">
        <v>204</v>
      </c>
      <c r="E27" s="193">
        <f>+E11*(C18+G11)</f>
        <v>0.65</v>
      </c>
      <c r="F27" s="190">
        <f t="shared" si="0"/>
        <v>0.65</v>
      </c>
      <c r="G27" s="194">
        <f>+F27-C18-G11</f>
        <v>0</v>
      </c>
    </row>
    <row r="28" spans="2:7" outlineLevel="1">
      <c r="B28" s="178" t="s">
        <v>208</v>
      </c>
      <c r="C28" s="193">
        <f>+C18*F11</f>
        <v>0</v>
      </c>
      <c r="D28" s="200" t="s">
        <v>204</v>
      </c>
      <c r="E28" s="193">
        <f>+E11*C18</f>
        <v>0.6</v>
      </c>
      <c r="F28" s="190">
        <f t="shared" si="0"/>
        <v>0.6</v>
      </c>
      <c r="G28" s="194">
        <f>+F28-C18</f>
        <v>0</v>
      </c>
    </row>
    <row r="29" spans="2:7" outlineLevel="1">
      <c r="B29" s="178" t="s">
        <v>209</v>
      </c>
      <c r="C29" s="193">
        <f>+(1-(F24+F25+F26+F27))*F12</f>
        <v>0.12224545454545453</v>
      </c>
      <c r="D29" s="200" t="s">
        <v>204</v>
      </c>
      <c r="E29" s="193">
        <f>+(1-(F24+F25+F26+F27))*E12</f>
        <v>0.14669454545454541</v>
      </c>
      <c r="F29" s="190">
        <f t="shared" si="0"/>
        <v>0.26893999999999996</v>
      </c>
      <c r="G29" s="194"/>
    </row>
    <row r="30" spans="2:7" outlineLevel="1">
      <c r="B30" s="178" t="s">
        <v>210</v>
      </c>
      <c r="C30" s="190">
        <f>+C29-C31</f>
        <v>9.7245454545454524E-2</v>
      </c>
      <c r="D30" s="200" t="s">
        <v>204</v>
      </c>
      <c r="E30" s="193">
        <f>+E29-E31</f>
        <v>0.11669454545454541</v>
      </c>
      <c r="F30" s="190">
        <f>+F29-F31</f>
        <v>0.21393999999999996</v>
      </c>
      <c r="G30" s="194"/>
    </row>
    <row r="31" spans="2:7" ht="17" outlineLevel="1" thickBot="1">
      <c r="B31" s="195" t="s">
        <v>211</v>
      </c>
      <c r="C31" s="196">
        <f>+C13*F13+C14*F14+C15*F15</f>
        <v>2.5000000000000001E-2</v>
      </c>
      <c r="D31" s="201" t="s">
        <v>204</v>
      </c>
      <c r="E31" s="196">
        <f>+C13*E13+C14*E14+C15*E15</f>
        <v>0.03</v>
      </c>
      <c r="F31" s="197">
        <f>+E31+C31</f>
        <v>5.5E-2</v>
      </c>
      <c r="G31" s="198">
        <f>+F31-C13-C14-C15</f>
        <v>0</v>
      </c>
    </row>
    <row r="32" spans="2:7" ht="17" thickTop="1">
      <c r="B32" s="175" t="s">
        <v>237</v>
      </c>
      <c r="C32" s="176"/>
      <c r="D32" s="199"/>
      <c r="E32" s="176" t="s">
        <v>191</v>
      </c>
      <c r="F32" s="176"/>
      <c r="G32" s="177"/>
    </row>
    <row r="33" spans="2:8" outlineLevel="1">
      <c r="B33" s="178" t="str">
        <f>+B8</f>
        <v>Nro apartamentos totales</v>
      </c>
      <c r="C33" s="179">
        <v>202</v>
      </c>
      <c r="D33" s="200"/>
      <c r="E33" s="14"/>
      <c r="F33" s="14"/>
      <c r="G33" s="180"/>
    </row>
    <row r="34" spans="2:8" outlineLevel="1">
      <c r="B34" s="178" t="str">
        <f t="shared" ref="B34:B56" si="1">+B9</f>
        <v>Honor Arquitectura</v>
      </c>
      <c r="C34" s="181">
        <f>1%/C43</f>
        <v>1.6666666666666666E-2</v>
      </c>
      <c r="D34" s="200" t="s">
        <v>195</v>
      </c>
      <c r="E34" s="182">
        <v>1</v>
      </c>
      <c r="F34" s="182">
        <v>0</v>
      </c>
      <c r="G34" s="183">
        <f>+C34*C43</f>
        <v>0.01</v>
      </c>
      <c r="H34" t="s">
        <v>204</v>
      </c>
    </row>
    <row r="35" spans="2:8" outlineLevel="1">
      <c r="B35" s="178" t="str">
        <f t="shared" si="1"/>
        <v>Honor Preconstrucción</v>
      </c>
      <c r="C35" s="181">
        <v>0</v>
      </c>
      <c r="D35" s="200" t="s">
        <v>195</v>
      </c>
      <c r="E35" s="182">
        <v>0</v>
      </c>
      <c r="F35" s="182">
        <v>0</v>
      </c>
      <c r="G35" s="183">
        <f>+C35*$C$43</f>
        <v>0</v>
      </c>
      <c r="H35" t="s">
        <v>204</v>
      </c>
    </row>
    <row r="36" spans="2:8" outlineLevel="1">
      <c r="B36" s="178" t="str">
        <f t="shared" si="1"/>
        <v>Honor Construcción</v>
      </c>
      <c r="C36" s="184">
        <f>5%/C43</f>
        <v>8.3333333333333343E-2</v>
      </c>
      <c r="D36" s="200" t="s">
        <v>195</v>
      </c>
      <c r="E36" s="182">
        <v>1</v>
      </c>
      <c r="F36" s="182">
        <v>0</v>
      </c>
      <c r="G36" s="183">
        <f>+C36*$C$43</f>
        <v>0.05</v>
      </c>
      <c r="H36" t="s">
        <v>204</v>
      </c>
    </row>
    <row r="37" spans="2:8" outlineLevel="1">
      <c r="B37" s="178" t="str">
        <f t="shared" si="1"/>
        <v>Honor Inmobiliario</v>
      </c>
      <c r="C37" s="15"/>
      <c r="D37" s="200"/>
      <c r="E37" s="14">
        <f>IFERROR(+(E38*C38+E39*C39+E40*C40)/(C38+C39+C40),50%)</f>
        <v>0.54545454545454541</v>
      </c>
      <c r="F37" s="14">
        <f>+IFERROR((F38*C38+F39*C39+F40*C40)/(C38+C39+C40),50%)</f>
        <v>0.45454545454545459</v>
      </c>
      <c r="G37" s="180"/>
    </row>
    <row r="38" spans="2:8" outlineLevel="2">
      <c r="B38" s="185" t="str">
        <f t="shared" si="1"/>
        <v>Honor. Estructuración</v>
      </c>
      <c r="C38" s="186">
        <v>0</v>
      </c>
      <c r="D38" s="200" t="s">
        <v>204</v>
      </c>
      <c r="E38" s="182">
        <v>0.5</v>
      </c>
      <c r="F38" s="182">
        <v>0.5</v>
      </c>
      <c r="G38" s="180"/>
    </row>
    <row r="39" spans="2:8" outlineLevel="2">
      <c r="B39" s="185" t="str">
        <f t="shared" si="1"/>
        <v>Honor Gerencia</v>
      </c>
      <c r="C39" s="186">
        <v>2.5000000000000001E-2</v>
      </c>
      <c r="D39" s="200" t="s">
        <v>204</v>
      </c>
      <c r="E39" s="182">
        <v>0</v>
      </c>
      <c r="F39" s="182">
        <v>1</v>
      </c>
      <c r="G39" s="180"/>
    </row>
    <row r="40" spans="2:8" outlineLevel="2">
      <c r="B40" s="185" t="str">
        <f t="shared" si="1"/>
        <v>Honor. Ventas</v>
      </c>
      <c r="C40" s="186">
        <v>0.03</v>
      </c>
      <c r="D40" s="200" t="s">
        <v>204</v>
      </c>
      <c r="E40" s="182">
        <v>1</v>
      </c>
      <c r="F40" s="182">
        <v>0</v>
      </c>
      <c r="G40" s="180"/>
    </row>
    <row r="41" spans="2:8" outlineLevel="1">
      <c r="B41" s="178" t="str">
        <f t="shared" si="1"/>
        <v>Util proyecto/Ventas</v>
      </c>
      <c r="C41" s="187">
        <v>8.8929999999999995E-2</v>
      </c>
      <c r="D41" s="200" t="s">
        <v>204</v>
      </c>
      <c r="E41" s="182">
        <v>0.5</v>
      </c>
      <c r="F41" s="182">
        <v>0.5</v>
      </c>
      <c r="G41" s="180"/>
    </row>
    <row r="42" spans="2:8" outlineLevel="1">
      <c r="B42" s="178" t="str">
        <f t="shared" si="1"/>
        <v>Credito Constructor</v>
      </c>
      <c r="C42" s="14"/>
      <c r="D42" s="200"/>
      <c r="E42" s="182">
        <v>1</v>
      </c>
      <c r="F42" s="182">
        <v>0</v>
      </c>
      <c r="G42" s="180"/>
    </row>
    <row r="43" spans="2:8" outlineLevel="1">
      <c r="B43" s="178" t="str">
        <f t="shared" si="1"/>
        <v>Costo Dir. Const/Ventas</v>
      </c>
      <c r="C43" s="182">
        <v>0.6</v>
      </c>
      <c r="D43" s="200" t="s">
        <v>204</v>
      </c>
      <c r="E43" s="14"/>
      <c r="F43" s="14"/>
      <c r="G43" s="180"/>
    </row>
    <row r="44" spans="2:8" outlineLevel="1">
      <c r="B44" s="178"/>
      <c r="C44" s="188"/>
      <c r="D44" s="200"/>
      <c r="E44" s="14"/>
      <c r="F44" s="14"/>
      <c r="G44" s="180"/>
    </row>
    <row r="45" spans="2:8" outlineLevel="1">
      <c r="B45" s="178"/>
      <c r="C45" s="188" t="s">
        <v>214</v>
      </c>
      <c r="D45" s="200"/>
      <c r="E45" s="14" t="s">
        <v>96</v>
      </c>
      <c r="F45" s="14" t="s">
        <v>212</v>
      </c>
      <c r="G45" s="180" t="s">
        <v>213</v>
      </c>
    </row>
    <row r="46" spans="2:8" outlineLevel="1">
      <c r="B46" s="178" t="str">
        <f t="shared" si="1"/>
        <v>Ventas Proyecto AIA</v>
      </c>
      <c r="C46" s="189">
        <f>+C49+C50+C51+C52+C54</f>
        <v>0.1585877272727273</v>
      </c>
      <c r="D46" s="200"/>
      <c r="E46" s="190">
        <f>+E49+E50+E51+E52+E54</f>
        <v>0.8414122727272727</v>
      </c>
      <c r="F46" s="190">
        <f>+E46+C46</f>
        <v>1</v>
      </c>
      <c r="G46" s="191">
        <f>+F46-1</f>
        <v>0</v>
      </c>
    </row>
    <row r="47" spans="2:8" outlineLevel="1">
      <c r="B47" s="178" t="str">
        <f t="shared" si="1"/>
        <v>Margen total</v>
      </c>
      <c r="C47" s="189">
        <f>+C49+C50+C51+(C52-C53)+C56</f>
        <v>6.9464999999999999E-2</v>
      </c>
      <c r="D47" s="200"/>
      <c r="E47" s="189">
        <f>+E49+E50+E51+(E52-E53)+E56</f>
        <v>0.13446500000000006</v>
      </c>
      <c r="F47" s="190">
        <f>+E47+C47</f>
        <v>0.20393000000000006</v>
      </c>
      <c r="G47" s="191">
        <f>+F47-G34-G35-G36-C41-C38-C39-C40</f>
        <v>6.2450045135165055E-17</v>
      </c>
    </row>
    <row r="48" spans="2:8" outlineLevel="1">
      <c r="B48" s="178"/>
      <c r="C48" s="188">
        <f>+C47/C46</f>
        <v>0.43802254559420789</v>
      </c>
      <c r="D48" s="200"/>
      <c r="E48" s="188">
        <f>+E47/E46</f>
        <v>0.15980869825461205</v>
      </c>
      <c r="F48" s="14"/>
      <c r="G48" s="180"/>
    </row>
    <row r="49" spans="2:17" outlineLevel="1">
      <c r="B49" s="178" t="str">
        <f t="shared" si="1"/>
        <v>Ventas Arquitectura</v>
      </c>
      <c r="C49" s="192">
        <f>IF(Arq="Si",0,+G34*F34)</f>
        <v>0</v>
      </c>
      <c r="D49" s="200" t="s">
        <v>204</v>
      </c>
      <c r="E49" s="193">
        <f>+E34*G34</f>
        <v>0.01</v>
      </c>
      <c r="F49" s="190">
        <f t="shared" ref="F49:F54" si="2">+E49+C49</f>
        <v>0.01</v>
      </c>
      <c r="G49" s="194">
        <f>+F49-G34</f>
        <v>0</v>
      </c>
    </row>
    <row r="50" spans="2:17" outlineLevel="1">
      <c r="B50" s="178" t="str">
        <f t="shared" si="1"/>
        <v>Ventas Preconstrucción</v>
      </c>
      <c r="C50" s="193">
        <f>+G35*F35</f>
        <v>0</v>
      </c>
      <c r="D50" s="200" t="s">
        <v>204</v>
      </c>
      <c r="E50" s="193">
        <f>+E35*G35</f>
        <v>0</v>
      </c>
      <c r="F50" s="190">
        <f t="shared" si="2"/>
        <v>0</v>
      </c>
      <c r="G50" s="194">
        <f>+F50-G35</f>
        <v>0</v>
      </c>
    </row>
    <row r="51" spans="2:17" outlineLevel="1">
      <c r="B51" s="178" t="str">
        <f t="shared" si="1"/>
        <v>Ingresos como inversionista</v>
      </c>
      <c r="C51" s="193">
        <f>+C41*E41</f>
        <v>4.4464999999999998E-2</v>
      </c>
      <c r="D51" s="200" t="s">
        <v>204</v>
      </c>
      <c r="E51" s="193">
        <f>+C41*F41</f>
        <v>4.4464999999999998E-2</v>
      </c>
      <c r="F51" s="190">
        <f t="shared" si="2"/>
        <v>8.8929999999999995E-2</v>
      </c>
      <c r="G51" s="194">
        <f>+F51-C41</f>
        <v>0</v>
      </c>
    </row>
    <row r="52" spans="2:17" outlineLevel="1">
      <c r="B52" s="178" t="str">
        <f t="shared" si="1"/>
        <v>Ventas Construcción</v>
      </c>
      <c r="C52" s="193">
        <f>+F36*(C43+G36)</f>
        <v>0</v>
      </c>
      <c r="D52" s="200" t="s">
        <v>204</v>
      </c>
      <c r="E52" s="193">
        <f>+E36*(C43+G36)</f>
        <v>0.65</v>
      </c>
      <c r="F52" s="190">
        <f t="shared" si="2"/>
        <v>0.65</v>
      </c>
      <c r="G52" s="194">
        <f>+F52-C43-G36</f>
        <v>0</v>
      </c>
    </row>
    <row r="53" spans="2:17" outlineLevel="1">
      <c r="B53" s="178" t="str">
        <f t="shared" si="1"/>
        <v>Costo Construcción</v>
      </c>
      <c r="C53" s="193">
        <f>+C43*F36</f>
        <v>0</v>
      </c>
      <c r="D53" s="200" t="s">
        <v>204</v>
      </c>
      <c r="E53" s="193">
        <f>+E36*C43</f>
        <v>0.6</v>
      </c>
      <c r="F53" s="190">
        <f t="shared" si="2"/>
        <v>0.6</v>
      </c>
      <c r="G53" s="194">
        <f>+F53-C43</f>
        <v>0</v>
      </c>
    </row>
    <row r="54" spans="2:17" outlineLevel="1">
      <c r="B54" s="178" t="str">
        <f t="shared" si="1"/>
        <v>Ventas Inmobiliarias</v>
      </c>
      <c r="C54" s="193">
        <f>+(1-(F49+F50+F51+F52))*F37</f>
        <v>0.11412272727272729</v>
      </c>
      <c r="D54" s="200" t="s">
        <v>204</v>
      </c>
      <c r="E54" s="193">
        <f>+(1-(F49+F50+F51+F52))*E37</f>
        <v>0.13694727272727272</v>
      </c>
      <c r="F54" s="190">
        <f t="shared" si="2"/>
        <v>0.25107000000000002</v>
      </c>
      <c r="G54" s="194"/>
    </row>
    <row r="55" spans="2:17" outlineLevel="1">
      <c r="B55" s="178" t="str">
        <f t="shared" si="1"/>
        <v>Costo Inmobiliario</v>
      </c>
      <c r="C55" s="190">
        <f>+C54-C56</f>
        <v>8.9122727272727298E-2</v>
      </c>
      <c r="D55" s="200" t="s">
        <v>204</v>
      </c>
      <c r="E55" s="193">
        <f>+E54-E56</f>
        <v>0.10694727272727272</v>
      </c>
      <c r="F55" s="190">
        <f>+F54-F56</f>
        <v>0.19607000000000002</v>
      </c>
      <c r="G55" s="194"/>
    </row>
    <row r="56" spans="2:17" ht="17" outlineLevel="1" thickBot="1">
      <c r="B56" s="195" t="str">
        <f t="shared" si="1"/>
        <v>Utilidad Inmobiliaria</v>
      </c>
      <c r="C56" s="196">
        <f>+C38*F38+C39*F39+C40*F40</f>
        <v>2.5000000000000001E-2</v>
      </c>
      <c r="D56" s="201" t="s">
        <v>204</v>
      </c>
      <c r="E56" s="196">
        <f>+C38*E38+C39*E39+C40*E40</f>
        <v>0.03</v>
      </c>
      <c r="F56" s="197">
        <f>+E56+C56</f>
        <v>5.5E-2</v>
      </c>
      <c r="G56" s="198">
        <f>+F56-C38-C39-C40</f>
        <v>0</v>
      </c>
    </row>
    <row r="57" spans="2:17" ht="17" thickTop="1">
      <c r="B57" s="175" t="s">
        <v>226</v>
      </c>
      <c r="C57" s="176"/>
      <c r="D57" s="199"/>
      <c r="E57" s="176" t="s">
        <v>232</v>
      </c>
      <c r="F57" s="176"/>
      <c r="G57" s="177"/>
      <c r="L57" t="s">
        <v>247</v>
      </c>
      <c r="M57" t="s">
        <v>248</v>
      </c>
      <c r="N57" t="s">
        <v>250</v>
      </c>
      <c r="O57" t="s">
        <v>249</v>
      </c>
      <c r="P57" t="s">
        <v>2</v>
      </c>
      <c r="Q57" t="s">
        <v>251</v>
      </c>
    </row>
    <row r="58" spans="2:17" outlineLevel="1">
      <c r="B58" s="178" t="str">
        <f>+B33</f>
        <v>Nro apartamentos totales</v>
      </c>
      <c r="C58" s="179">
        <f>144+144+108</f>
        <v>396</v>
      </c>
      <c r="D58" s="200"/>
      <c r="E58" s="14"/>
      <c r="F58" s="14"/>
      <c r="G58" s="180"/>
      <c r="J58" t="s">
        <v>244</v>
      </c>
      <c r="K58" s="13">
        <v>0.11650000000000001</v>
      </c>
      <c r="L58" s="13">
        <v>1.6500000000000001E-2</v>
      </c>
      <c r="M58" s="13">
        <f>+M61-M59-M60</f>
        <v>3.3099999999999991E-2</v>
      </c>
      <c r="N58" s="13">
        <f>+K58-L58-M58</f>
        <v>6.6900000000000015E-2</v>
      </c>
      <c r="O58" s="1">
        <v>0.04</v>
      </c>
      <c r="P58">
        <f>+(N58-O58)/2</f>
        <v>1.3450000000000007E-2</v>
      </c>
      <c r="Q58">
        <f>+P58</f>
        <v>1.3450000000000007E-2</v>
      </c>
    </row>
    <row r="59" spans="2:17" outlineLevel="1">
      <c r="B59" s="178" t="str">
        <f t="shared" ref="B59:B81" si="3">+B34</f>
        <v>Honor Arquitectura</v>
      </c>
      <c r="C59" s="181">
        <v>0</v>
      </c>
      <c r="D59" s="200" t="s">
        <v>195</v>
      </c>
      <c r="E59" s="182"/>
      <c r="F59" s="182"/>
      <c r="G59" s="183">
        <f>+C59*C68</f>
        <v>0</v>
      </c>
      <c r="H59" t="s">
        <v>204</v>
      </c>
      <c r="J59" t="s">
        <v>245</v>
      </c>
      <c r="K59" s="13">
        <v>6.2700000000000006E-2</v>
      </c>
      <c r="M59" s="58">
        <f>+K59*2/3</f>
        <v>4.1800000000000004E-2</v>
      </c>
    </row>
    <row r="60" spans="2:17" outlineLevel="1">
      <c r="B60" s="178" t="str">
        <f t="shared" si="3"/>
        <v>Honor Preconstrucción</v>
      </c>
      <c r="C60" s="181"/>
      <c r="D60" s="200" t="s">
        <v>195</v>
      </c>
      <c r="E60" s="182"/>
      <c r="F60" s="182"/>
      <c r="G60" s="183">
        <f>+C60*$C$68</f>
        <v>0</v>
      </c>
      <c r="H60" t="s">
        <v>204</v>
      </c>
      <c r="J60" t="s">
        <v>246</v>
      </c>
      <c r="K60" s="13">
        <v>0.05</v>
      </c>
      <c r="M60" s="1">
        <v>0.05</v>
      </c>
      <c r="N60" s="74">
        <f>+K60-M60</f>
        <v>0</v>
      </c>
    </row>
    <row r="61" spans="2:17" outlineLevel="1">
      <c r="B61" s="178" t="str">
        <f t="shared" si="3"/>
        <v>Honor Construcción</v>
      </c>
      <c r="C61" s="184">
        <f>4.3149826%/C68</f>
        <v>7.1808663671159914E-2</v>
      </c>
      <c r="D61" s="200" t="s">
        <v>195</v>
      </c>
      <c r="E61" s="182">
        <v>0</v>
      </c>
      <c r="F61" s="182">
        <v>1</v>
      </c>
      <c r="G61" s="183">
        <f>+C61*$C$68</f>
        <v>4.3149825999999988E-2</v>
      </c>
      <c r="H61" t="s">
        <v>204</v>
      </c>
      <c r="K61" s="13">
        <f>+K60+K59+K58</f>
        <v>0.22920000000000001</v>
      </c>
      <c r="M61" s="13">
        <v>0.1249</v>
      </c>
    </row>
    <row r="62" spans="2:17" outlineLevel="1">
      <c r="B62" s="178" t="str">
        <f t="shared" si="3"/>
        <v>Honor Inmobiliario</v>
      </c>
      <c r="C62" s="15"/>
      <c r="D62" s="200"/>
      <c r="E62" s="14">
        <f>IFERROR(+(E63*C63+E64*C64+E65*C65)/(C63+C64+C65),50%)</f>
        <v>0.67653292529749443</v>
      </c>
      <c r="F62" s="14">
        <f>+IFERROR((F63*C63+F64*C64+F65*C65)/(C63+C64+C65),50%)</f>
        <v>0.32346707470250563</v>
      </c>
      <c r="G62" s="180"/>
    </row>
    <row r="63" spans="2:17" outlineLevel="2">
      <c r="B63" s="185" t="str">
        <f t="shared" si="3"/>
        <v>Honor. Estructuración</v>
      </c>
      <c r="C63" s="186">
        <v>0.1249</v>
      </c>
      <c r="D63" s="200" t="s">
        <v>204</v>
      </c>
      <c r="E63" s="182">
        <v>1</v>
      </c>
      <c r="F63" s="182"/>
      <c r="G63" s="180"/>
    </row>
    <row r="64" spans="2:17" outlineLevel="2">
      <c r="B64" s="185" t="str">
        <f t="shared" si="3"/>
        <v>Honor Gerencia</v>
      </c>
      <c r="C64" s="186">
        <v>3.4717770000000002E-2</v>
      </c>
      <c r="D64" s="200" t="s">
        <v>204</v>
      </c>
      <c r="E64" s="182">
        <v>0</v>
      </c>
      <c r="F64" s="182">
        <v>1</v>
      </c>
      <c r="G64" s="180"/>
    </row>
    <row r="65" spans="2:7" outlineLevel="2">
      <c r="B65" s="185" t="str">
        <f t="shared" si="3"/>
        <v>Honor. Ventas</v>
      </c>
      <c r="C65" s="186">
        <v>2.5000000000000001E-2</v>
      </c>
      <c r="D65" s="200" t="s">
        <v>204</v>
      </c>
      <c r="E65" s="182">
        <v>0</v>
      </c>
      <c r="F65" s="182">
        <v>1</v>
      </c>
      <c r="G65" s="180"/>
    </row>
    <row r="66" spans="2:7" outlineLevel="1">
      <c r="B66" s="178" t="str">
        <f t="shared" si="3"/>
        <v>Util proyecto/Ventas</v>
      </c>
      <c r="C66" s="187">
        <f>+N60</f>
        <v>0</v>
      </c>
      <c r="D66" s="200" t="s">
        <v>204</v>
      </c>
      <c r="E66" s="182">
        <v>0</v>
      </c>
      <c r="F66" s="182">
        <v>1</v>
      </c>
      <c r="G66" s="180"/>
    </row>
    <row r="67" spans="2:7" outlineLevel="1">
      <c r="B67" s="178" t="str">
        <f t="shared" si="3"/>
        <v>Credito Constructor</v>
      </c>
      <c r="C67" s="14"/>
      <c r="D67" s="200"/>
      <c r="E67" s="182"/>
      <c r="F67" s="182"/>
      <c r="G67" s="180"/>
    </row>
    <row r="68" spans="2:7" outlineLevel="1">
      <c r="B68" s="178" t="str">
        <f t="shared" si="3"/>
        <v>Costo Dir. Const/Ventas</v>
      </c>
      <c r="C68" s="182">
        <v>0.60089999999999999</v>
      </c>
      <c r="D68" s="200" t="s">
        <v>204</v>
      </c>
      <c r="E68" s="14"/>
      <c r="F68" s="14"/>
      <c r="G68" s="180"/>
    </row>
    <row r="69" spans="2:7" outlineLevel="1">
      <c r="B69" s="178"/>
      <c r="C69" s="188"/>
      <c r="D69" s="200"/>
      <c r="E69" s="14"/>
      <c r="F69" s="14"/>
      <c r="G69" s="180"/>
    </row>
    <row r="70" spans="2:7" outlineLevel="1">
      <c r="B70" s="178"/>
      <c r="C70" s="188" t="s">
        <v>214</v>
      </c>
      <c r="D70" s="200"/>
      <c r="E70" s="14" t="s">
        <v>96</v>
      </c>
      <c r="F70" s="14" t="s">
        <v>212</v>
      </c>
      <c r="G70" s="180" t="s">
        <v>213</v>
      </c>
    </row>
    <row r="71" spans="2:7" outlineLevel="1">
      <c r="B71" s="178" t="str">
        <f t="shared" si="3"/>
        <v>Ventas Proyecto AIA</v>
      </c>
      <c r="C71" s="189">
        <f>+C74+C75+C76+C77+C79</f>
        <v>0.75918798752362782</v>
      </c>
      <c r="D71" s="200"/>
      <c r="E71" s="190">
        <f>+E74+E75+E76+E77+E79</f>
        <v>0.24081201247637218</v>
      </c>
      <c r="F71" s="190">
        <f>+E71+C71</f>
        <v>1</v>
      </c>
      <c r="G71" s="191">
        <f>+F71-1</f>
        <v>0</v>
      </c>
    </row>
    <row r="72" spans="2:7" outlineLevel="1">
      <c r="B72" s="178" t="str">
        <f t="shared" si="3"/>
        <v>Margen total</v>
      </c>
      <c r="C72" s="189">
        <f>+C74+C75+C76+(C77-C78)+C81</f>
        <v>0.10286759599999995</v>
      </c>
      <c r="D72" s="200"/>
      <c r="E72" s="189">
        <f>+E74+E75+E76+(E77-E78)+E81</f>
        <v>0.1249</v>
      </c>
      <c r="F72" s="190">
        <f>+E72+C72</f>
        <v>0.22776759599999996</v>
      </c>
      <c r="G72" s="191">
        <f>+F72-G59-G60-G61-C66-C63-C64-C65</f>
        <v>-4.163336342344337E-17</v>
      </c>
    </row>
    <row r="73" spans="2:7" outlineLevel="1">
      <c r="B73" s="178"/>
      <c r="C73" s="188"/>
      <c r="D73" s="200"/>
      <c r="E73" s="188"/>
      <c r="F73" s="14"/>
      <c r="G73" s="180"/>
    </row>
    <row r="74" spans="2:7" outlineLevel="1">
      <c r="B74" s="178" t="str">
        <f t="shared" si="3"/>
        <v>Ventas Arquitectura</v>
      </c>
      <c r="C74" s="192">
        <f>IF(Arq="Si",0,+G59*F59)</f>
        <v>0</v>
      </c>
      <c r="D74" s="200" t="s">
        <v>204</v>
      </c>
      <c r="E74" s="193">
        <f>+E59*G59</f>
        <v>0</v>
      </c>
      <c r="F74" s="190">
        <f t="shared" ref="F74:F79" si="4">+E74+C74</f>
        <v>0</v>
      </c>
      <c r="G74" s="194">
        <f>+F74-G59</f>
        <v>0</v>
      </c>
    </row>
    <row r="75" spans="2:7" outlineLevel="1">
      <c r="B75" s="178" t="str">
        <f t="shared" si="3"/>
        <v>Ventas Preconstrucción</v>
      </c>
      <c r="C75" s="193">
        <f>+G60*F60</f>
        <v>0</v>
      </c>
      <c r="D75" s="200" t="s">
        <v>204</v>
      </c>
      <c r="E75" s="193">
        <f>+E60*G60</f>
        <v>0</v>
      </c>
      <c r="F75" s="190">
        <f t="shared" si="4"/>
        <v>0</v>
      </c>
      <c r="G75" s="194">
        <f>+F75-G60</f>
        <v>0</v>
      </c>
    </row>
    <row r="76" spans="2:7" outlineLevel="1">
      <c r="B76" s="178" t="str">
        <f t="shared" si="3"/>
        <v>Ingresos como inversionista</v>
      </c>
      <c r="C76" s="193">
        <f>+C66*F66</f>
        <v>0</v>
      </c>
      <c r="D76" s="200" t="s">
        <v>204</v>
      </c>
      <c r="E76" s="193">
        <f>+C66*E66</f>
        <v>0</v>
      </c>
      <c r="F76" s="190">
        <f t="shared" si="4"/>
        <v>0</v>
      </c>
      <c r="G76" s="194">
        <f>+F76-C66</f>
        <v>0</v>
      </c>
    </row>
    <row r="77" spans="2:7" outlineLevel="1">
      <c r="B77" s="178" t="str">
        <f t="shared" si="3"/>
        <v>Ventas Construcción</v>
      </c>
      <c r="C77" s="193">
        <f>+F61*(C68+G61)</f>
        <v>0.64404982599999994</v>
      </c>
      <c r="D77" s="200" t="s">
        <v>204</v>
      </c>
      <c r="E77" s="193">
        <f>+E61*(C68+G61)</f>
        <v>0</v>
      </c>
      <c r="F77" s="190">
        <f t="shared" si="4"/>
        <v>0.64404982599999994</v>
      </c>
      <c r="G77" s="194">
        <f>+F77-C68-G61</f>
        <v>0</v>
      </c>
    </row>
    <row r="78" spans="2:7" outlineLevel="1">
      <c r="B78" s="178" t="str">
        <f t="shared" si="3"/>
        <v>Costo Construcción</v>
      </c>
      <c r="C78" s="193">
        <f>+C68*F61</f>
        <v>0.60089999999999999</v>
      </c>
      <c r="D78" s="200" t="s">
        <v>204</v>
      </c>
      <c r="E78" s="193">
        <f>+E61*C68</f>
        <v>0</v>
      </c>
      <c r="F78" s="190">
        <f t="shared" si="4"/>
        <v>0.60089999999999999</v>
      </c>
      <c r="G78" s="194">
        <f>+F78-C68</f>
        <v>0</v>
      </c>
    </row>
    <row r="79" spans="2:7" outlineLevel="1">
      <c r="B79" s="178" t="str">
        <f t="shared" si="3"/>
        <v>Ventas Inmobiliarias</v>
      </c>
      <c r="C79" s="193">
        <f>+(1-(F74+F75+F76+F77))*F62</f>
        <v>0.11513816152362789</v>
      </c>
      <c r="D79" s="200" t="s">
        <v>204</v>
      </c>
      <c r="E79" s="193">
        <f>+(1-(F74+F75+F76+F77))*E62</f>
        <v>0.24081201247637218</v>
      </c>
      <c r="F79" s="190">
        <f t="shared" si="4"/>
        <v>0.35595017400000006</v>
      </c>
      <c r="G79" s="194"/>
    </row>
    <row r="80" spans="2:7" outlineLevel="1">
      <c r="B80" s="178" t="str">
        <f t="shared" si="3"/>
        <v>Costo Inmobiliario</v>
      </c>
      <c r="C80" s="190">
        <f>+C79-C81</f>
        <v>5.542039152362789E-2</v>
      </c>
      <c r="D80" s="200" t="s">
        <v>204</v>
      </c>
      <c r="E80" s="193">
        <f>+E79-E81</f>
        <v>0.11591201247637219</v>
      </c>
      <c r="F80" s="190">
        <f>+F79-F81</f>
        <v>0.17133240400000005</v>
      </c>
      <c r="G80" s="194"/>
    </row>
    <row r="81" spans="2:8" ht="17" outlineLevel="1" thickBot="1">
      <c r="B81" s="195" t="str">
        <f t="shared" si="3"/>
        <v>Utilidad Inmobiliaria</v>
      </c>
      <c r="C81" s="196">
        <f>+C63*F63+C64*F64+C65*F65</f>
        <v>5.9717770000000003E-2</v>
      </c>
      <c r="D81" s="201" t="s">
        <v>204</v>
      </c>
      <c r="E81" s="196">
        <f>+C63*E63+C64*E64+C65*E65</f>
        <v>0.1249</v>
      </c>
      <c r="F81" s="197">
        <f>+E81+C81</f>
        <v>0.18461777000000001</v>
      </c>
      <c r="G81" s="198">
        <f>+F81-C63-C64-C65</f>
        <v>0</v>
      </c>
    </row>
    <row r="82" spans="2:8" ht="17" thickTop="1">
      <c r="B82" s="175" t="s">
        <v>227</v>
      </c>
      <c r="C82" s="176"/>
      <c r="D82" s="199"/>
      <c r="E82" s="176" t="s">
        <v>232</v>
      </c>
      <c r="F82" s="176"/>
      <c r="G82" s="177"/>
    </row>
    <row r="83" spans="2:8" outlineLevel="1">
      <c r="B83" s="178" t="str">
        <f>+B58</f>
        <v>Nro apartamentos totales</v>
      </c>
      <c r="C83" s="179">
        <f>736-C58</f>
        <v>340</v>
      </c>
      <c r="D83" s="200"/>
      <c r="E83" s="14"/>
      <c r="F83" s="14"/>
      <c r="G83" s="180"/>
    </row>
    <row r="84" spans="2:8" outlineLevel="1">
      <c r="B84" s="178" t="str">
        <f t="shared" ref="B84:B106" si="5">+B59</f>
        <v>Honor Arquitectura</v>
      </c>
      <c r="C84" s="181"/>
      <c r="D84" s="200" t="s">
        <v>195</v>
      </c>
      <c r="E84" s="182"/>
      <c r="F84" s="182"/>
      <c r="G84" s="183">
        <f>+C84*C93</f>
        <v>0</v>
      </c>
      <c r="H84" t="s">
        <v>204</v>
      </c>
    </row>
    <row r="85" spans="2:8" outlineLevel="1">
      <c r="B85" s="178" t="str">
        <f t="shared" si="5"/>
        <v>Honor Preconstrucción</v>
      </c>
      <c r="C85" s="181"/>
      <c r="D85" s="200" t="s">
        <v>195</v>
      </c>
      <c r="E85" s="182"/>
      <c r="F85" s="182"/>
      <c r="G85" s="183">
        <f>+C85*$C$93</f>
        <v>0</v>
      </c>
      <c r="H85" t="s">
        <v>204</v>
      </c>
    </row>
    <row r="86" spans="2:8" outlineLevel="1">
      <c r="B86" s="178" t="str">
        <f t="shared" si="5"/>
        <v>Honor Construcción</v>
      </c>
      <c r="C86" s="184">
        <f>+C61</f>
        <v>7.1808663671159914E-2</v>
      </c>
      <c r="D86" s="200" t="s">
        <v>195</v>
      </c>
      <c r="E86" s="182">
        <v>0</v>
      </c>
      <c r="F86" s="182">
        <v>1</v>
      </c>
      <c r="G86" s="183">
        <f>+C86*$C$93</f>
        <v>4.3149825999999988E-2</v>
      </c>
      <c r="H86" t="s">
        <v>204</v>
      </c>
    </row>
    <row r="87" spans="2:8" outlineLevel="1">
      <c r="B87" s="178" t="str">
        <f t="shared" si="5"/>
        <v>Honor Inmobiliario</v>
      </c>
      <c r="C87" s="15"/>
      <c r="D87" s="200"/>
      <c r="E87" s="14">
        <f>IFERROR(+(E88*C88+E89*C89+E90*C90)/(C88+C89+C90),50%)</f>
        <v>0.67653292529749443</v>
      </c>
      <c r="F87" s="14">
        <f>+IFERROR((F88*C88+F89*C89+F90*C90)/(C88+C89+C90),50%)</f>
        <v>0.32346707470250563</v>
      </c>
      <c r="G87" s="180"/>
    </row>
    <row r="88" spans="2:8" outlineLevel="2">
      <c r="B88" s="185" t="str">
        <f t="shared" si="5"/>
        <v>Honor. Estructuración</v>
      </c>
      <c r="C88" s="186">
        <f>+C63</f>
        <v>0.1249</v>
      </c>
      <c r="D88" s="200" t="s">
        <v>204</v>
      </c>
      <c r="E88" s="182">
        <v>1</v>
      </c>
      <c r="F88" s="182">
        <v>0</v>
      </c>
      <c r="G88" s="180"/>
    </row>
    <row r="89" spans="2:8" outlineLevel="2">
      <c r="B89" s="185" t="str">
        <f t="shared" si="5"/>
        <v>Honor Gerencia</v>
      </c>
      <c r="C89" s="186">
        <f>+C64</f>
        <v>3.4717770000000002E-2</v>
      </c>
      <c r="D89" s="200" t="s">
        <v>204</v>
      </c>
      <c r="E89" s="182">
        <v>0</v>
      </c>
      <c r="F89" s="182">
        <v>1</v>
      </c>
      <c r="G89" s="180"/>
    </row>
    <row r="90" spans="2:8" outlineLevel="2">
      <c r="B90" s="185" t="str">
        <f t="shared" si="5"/>
        <v>Honor. Ventas</v>
      </c>
      <c r="C90" s="186">
        <f>+C65</f>
        <v>2.5000000000000001E-2</v>
      </c>
      <c r="D90" s="200" t="s">
        <v>204</v>
      </c>
      <c r="E90" s="182">
        <v>0</v>
      </c>
      <c r="F90" s="182">
        <v>1</v>
      </c>
      <c r="G90" s="180"/>
    </row>
    <row r="91" spans="2:8" outlineLevel="1">
      <c r="B91" s="178" t="str">
        <f t="shared" si="5"/>
        <v>Util proyecto/Ventas</v>
      </c>
      <c r="C91" s="187">
        <v>0</v>
      </c>
      <c r="D91" s="200" t="s">
        <v>204</v>
      </c>
      <c r="E91" s="182">
        <v>0</v>
      </c>
      <c r="F91" s="182">
        <v>1</v>
      </c>
      <c r="G91" s="180"/>
    </row>
    <row r="92" spans="2:8" outlineLevel="1">
      <c r="B92" s="178" t="str">
        <f t="shared" si="5"/>
        <v>Credito Constructor</v>
      </c>
      <c r="C92" s="14"/>
      <c r="D92" s="200"/>
      <c r="E92" s="182"/>
      <c r="F92" s="182"/>
      <c r="G92" s="180"/>
    </row>
    <row r="93" spans="2:8" outlineLevel="1">
      <c r="B93" s="178" t="str">
        <f t="shared" si="5"/>
        <v>Costo Dir. Const/Ventas</v>
      </c>
      <c r="C93" s="182">
        <v>0.60089999999999999</v>
      </c>
      <c r="D93" s="200" t="s">
        <v>204</v>
      </c>
      <c r="E93" s="14"/>
      <c r="F93" s="14"/>
      <c r="G93" s="180"/>
    </row>
    <row r="94" spans="2:8" outlineLevel="1">
      <c r="B94" s="178"/>
      <c r="C94" s="188"/>
      <c r="D94" s="200"/>
      <c r="E94" s="14"/>
      <c r="F94" s="14"/>
      <c r="G94" s="180"/>
    </row>
    <row r="95" spans="2:8" outlineLevel="1">
      <c r="B95" s="178"/>
      <c r="C95" s="188" t="s">
        <v>214</v>
      </c>
      <c r="D95" s="200"/>
      <c r="E95" s="14" t="s">
        <v>96</v>
      </c>
      <c r="F95" s="14" t="s">
        <v>212</v>
      </c>
      <c r="G95" s="180" t="s">
        <v>213</v>
      </c>
    </row>
    <row r="96" spans="2:8" outlineLevel="1">
      <c r="B96" s="178" t="str">
        <f t="shared" si="5"/>
        <v>Ventas Proyecto AIA</v>
      </c>
      <c r="C96" s="189">
        <f>+C99+C100+C101+C102+C104</f>
        <v>0.75918798752362782</v>
      </c>
      <c r="D96" s="200"/>
      <c r="E96" s="190">
        <f>+E99+E100+E101+E102+E104</f>
        <v>0.24081201247637218</v>
      </c>
      <c r="F96" s="190">
        <f>+E96+C96</f>
        <v>1</v>
      </c>
      <c r="G96" s="191">
        <f>+F96-1</f>
        <v>0</v>
      </c>
    </row>
    <row r="97" spans="2:8" outlineLevel="1">
      <c r="B97" s="178" t="str">
        <f t="shared" si="5"/>
        <v>Margen total</v>
      </c>
      <c r="C97" s="189">
        <f>+C99+C100+C101+(C102-C103)+C106</f>
        <v>0.10286759599999995</v>
      </c>
      <c r="D97" s="200"/>
      <c r="E97" s="189">
        <f>+E99+E100+E101+(E102-E103)+E106</f>
        <v>0.1249</v>
      </c>
      <c r="F97" s="190">
        <f>+E97+C97</f>
        <v>0.22776759599999996</v>
      </c>
      <c r="G97" s="191">
        <f>+F97-G84-G85-G86-C91-C88-C89-C90</f>
        <v>-4.163336342344337E-17</v>
      </c>
    </row>
    <row r="98" spans="2:8" outlineLevel="1">
      <c r="B98" s="178"/>
      <c r="C98" s="188"/>
      <c r="D98" s="200"/>
      <c r="E98" s="188"/>
      <c r="F98" s="14"/>
      <c r="G98" s="180"/>
    </row>
    <row r="99" spans="2:8" outlineLevel="1">
      <c r="B99" s="178" t="str">
        <f t="shared" si="5"/>
        <v>Ventas Arquitectura</v>
      </c>
      <c r="C99" s="192">
        <f>IF(Arq="Si",0,+G84*F84)</f>
        <v>0</v>
      </c>
      <c r="D99" s="200" t="s">
        <v>204</v>
      </c>
      <c r="E99" s="193">
        <f>+E84*G84</f>
        <v>0</v>
      </c>
      <c r="F99" s="190">
        <f t="shared" ref="F99:F104" si="6">+E99+C99</f>
        <v>0</v>
      </c>
      <c r="G99" s="194">
        <f>+F99-G84</f>
        <v>0</v>
      </c>
    </row>
    <row r="100" spans="2:8" outlineLevel="1">
      <c r="B100" s="178" t="str">
        <f t="shared" si="5"/>
        <v>Ventas Preconstrucción</v>
      </c>
      <c r="C100" s="193">
        <f>+G85*F85</f>
        <v>0</v>
      </c>
      <c r="D100" s="200" t="s">
        <v>204</v>
      </c>
      <c r="E100" s="193">
        <f>+E85*G85</f>
        <v>0</v>
      </c>
      <c r="F100" s="190">
        <f t="shared" si="6"/>
        <v>0</v>
      </c>
      <c r="G100" s="194">
        <f>+F100-G85</f>
        <v>0</v>
      </c>
    </row>
    <row r="101" spans="2:8" outlineLevel="1">
      <c r="B101" s="178" t="str">
        <f t="shared" si="5"/>
        <v>Ingresos como inversionista</v>
      </c>
      <c r="C101" s="193">
        <f>+C91*F91</f>
        <v>0</v>
      </c>
      <c r="D101" s="200" t="s">
        <v>204</v>
      </c>
      <c r="E101" s="193">
        <f>+C91*E91</f>
        <v>0</v>
      </c>
      <c r="F101" s="190">
        <f t="shared" si="6"/>
        <v>0</v>
      </c>
      <c r="G101" s="194">
        <f>+F101-C91</f>
        <v>0</v>
      </c>
    </row>
    <row r="102" spans="2:8" outlineLevel="1">
      <c r="B102" s="178" t="str">
        <f t="shared" si="5"/>
        <v>Ventas Construcción</v>
      </c>
      <c r="C102" s="193">
        <f>+F86*(C93+G86)</f>
        <v>0.64404982599999994</v>
      </c>
      <c r="D102" s="200" t="s">
        <v>204</v>
      </c>
      <c r="E102" s="193">
        <f>+E86*(C93+G86)</f>
        <v>0</v>
      </c>
      <c r="F102" s="190">
        <f t="shared" si="6"/>
        <v>0.64404982599999994</v>
      </c>
      <c r="G102" s="194">
        <f>+F102-C93-G86</f>
        <v>0</v>
      </c>
    </row>
    <row r="103" spans="2:8" outlineLevel="1">
      <c r="B103" s="178" t="str">
        <f t="shared" si="5"/>
        <v>Costo Construcción</v>
      </c>
      <c r="C103" s="193">
        <f>+C93*F86</f>
        <v>0.60089999999999999</v>
      </c>
      <c r="D103" s="200" t="s">
        <v>204</v>
      </c>
      <c r="E103" s="193">
        <f>+E86*C93</f>
        <v>0</v>
      </c>
      <c r="F103" s="190">
        <f t="shared" si="6"/>
        <v>0.60089999999999999</v>
      </c>
      <c r="G103" s="194">
        <f>+F103-C93</f>
        <v>0</v>
      </c>
    </row>
    <row r="104" spans="2:8" outlineLevel="1">
      <c r="B104" s="178" t="str">
        <f t="shared" si="5"/>
        <v>Ventas Inmobiliarias</v>
      </c>
      <c r="C104" s="193">
        <f>+(1-(F99+F100+F101+F102))*F87</f>
        <v>0.11513816152362789</v>
      </c>
      <c r="D104" s="200" t="s">
        <v>204</v>
      </c>
      <c r="E104" s="193">
        <f>+(1-(F99+F100+F101+F102))*E87</f>
        <v>0.24081201247637218</v>
      </c>
      <c r="F104" s="190">
        <f t="shared" si="6"/>
        <v>0.35595017400000006</v>
      </c>
      <c r="G104" s="194"/>
    </row>
    <row r="105" spans="2:8" outlineLevel="1">
      <c r="B105" s="178" t="str">
        <f t="shared" si="5"/>
        <v>Costo Inmobiliario</v>
      </c>
      <c r="C105" s="190">
        <f>+C104-C106</f>
        <v>5.542039152362789E-2</v>
      </c>
      <c r="D105" s="200" t="s">
        <v>204</v>
      </c>
      <c r="E105" s="193">
        <f>+E104-E106</f>
        <v>0.11591201247637219</v>
      </c>
      <c r="F105" s="190">
        <f>+F104-F106</f>
        <v>0.17133240400000005</v>
      </c>
      <c r="G105" s="194"/>
    </row>
    <row r="106" spans="2:8" ht="17" outlineLevel="1" thickBot="1">
      <c r="B106" s="195" t="str">
        <f t="shared" si="5"/>
        <v>Utilidad Inmobiliaria</v>
      </c>
      <c r="C106" s="196">
        <f>+C88*F88+C89*F89+C90*F90</f>
        <v>5.9717770000000003E-2</v>
      </c>
      <c r="D106" s="201" t="s">
        <v>204</v>
      </c>
      <c r="E106" s="196">
        <f>+C88*E88+C89*E89+C90*E90</f>
        <v>0.1249</v>
      </c>
      <c r="F106" s="197">
        <f>+E106+C106</f>
        <v>0.18461777000000001</v>
      </c>
      <c r="G106" s="198">
        <f>+F106-C88-C89-C90</f>
        <v>0</v>
      </c>
    </row>
    <row r="107" spans="2:8" ht="17" thickTop="1">
      <c r="B107" s="175" t="s">
        <v>47</v>
      </c>
      <c r="C107" s="176"/>
      <c r="D107" s="199"/>
      <c r="E107" s="176" t="s">
        <v>233</v>
      </c>
      <c r="F107" s="176"/>
      <c r="G107" s="177"/>
    </row>
    <row r="108" spans="2:8" outlineLevel="1">
      <c r="B108" s="178" t="str">
        <f>+B83</f>
        <v>Nro apartamentos totales</v>
      </c>
      <c r="C108" s="179">
        <v>154</v>
      </c>
      <c r="D108" s="200"/>
      <c r="E108" s="14"/>
      <c r="F108" s="14"/>
      <c r="G108" s="180"/>
    </row>
    <row r="109" spans="2:8" outlineLevel="1">
      <c r="B109" s="178" t="str">
        <f t="shared" ref="B109:B131" si="7">+B84</f>
        <v>Honor Arquitectura</v>
      </c>
      <c r="C109" s="181">
        <v>0.02</v>
      </c>
      <c r="D109" s="200" t="s">
        <v>195</v>
      </c>
      <c r="E109" s="182">
        <v>0</v>
      </c>
      <c r="F109" s="182">
        <v>1</v>
      </c>
      <c r="G109" s="183">
        <f>+C109*C118</f>
        <v>1.0181560000000001E-2</v>
      </c>
      <c r="H109" t="s">
        <v>204</v>
      </c>
    </row>
    <row r="110" spans="2:8" outlineLevel="1">
      <c r="B110" s="178" t="str">
        <f t="shared" si="7"/>
        <v>Honor Preconstrucción</v>
      </c>
      <c r="C110" s="181">
        <v>0</v>
      </c>
      <c r="D110" s="200" t="s">
        <v>195</v>
      </c>
      <c r="E110" s="182">
        <v>0</v>
      </c>
      <c r="F110" s="182">
        <v>1</v>
      </c>
      <c r="G110" s="183">
        <f>+C110*C118</f>
        <v>0</v>
      </c>
      <c r="H110" t="s">
        <v>204</v>
      </c>
    </row>
    <row r="111" spans="2:8" outlineLevel="1">
      <c r="B111" s="178" t="str">
        <f t="shared" si="7"/>
        <v>Honor Construcción</v>
      </c>
      <c r="C111" s="184">
        <v>6.7000000000000004E-2</v>
      </c>
      <c r="D111" s="200" t="s">
        <v>195</v>
      </c>
      <c r="E111" s="182">
        <v>0.5</v>
      </c>
      <c r="F111" s="182">
        <v>0.5</v>
      </c>
      <c r="G111" s="183">
        <f>+C111*C118</f>
        <v>3.4108226000000005E-2</v>
      </c>
      <c r="H111" t="s">
        <v>204</v>
      </c>
    </row>
    <row r="112" spans="2:8" outlineLevel="1">
      <c r="B112" s="178" t="str">
        <f t="shared" si="7"/>
        <v>Honor Inmobiliario</v>
      </c>
      <c r="C112" s="15"/>
      <c r="D112" s="200"/>
      <c r="E112" s="14">
        <f>IFERROR(+(E113*C113+E114*C114+E115*C115)/(C113+C114+C115),50%)</f>
        <v>0.5</v>
      </c>
      <c r="F112" s="14">
        <f>+IFERROR((F113*C113+F114*C114+F115*C115)/(C113+C114+C115),50%)</f>
        <v>0.5</v>
      </c>
      <c r="G112" s="180"/>
    </row>
    <row r="113" spans="2:7" outlineLevel="2">
      <c r="B113" s="185" t="str">
        <f t="shared" si="7"/>
        <v>Honor. Estructuración</v>
      </c>
      <c r="C113" s="186">
        <f>1.119%*0</f>
        <v>0</v>
      </c>
      <c r="D113" s="200" t="s">
        <v>204</v>
      </c>
      <c r="E113" s="182">
        <v>0.5</v>
      </c>
      <c r="F113" s="182">
        <v>0.5</v>
      </c>
      <c r="G113" s="180"/>
    </row>
    <row r="114" spans="2:7" outlineLevel="2">
      <c r="B114" s="185" t="str">
        <f t="shared" si="7"/>
        <v>Honor Gerencia</v>
      </c>
      <c r="C114" s="186">
        <f>1.147%*0</f>
        <v>0</v>
      </c>
      <c r="D114" s="200" t="s">
        <v>204</v>
      </c>
      <c r="E114" s="182">
        <v>0.5</v>
      </c>
      <c r="F114" s="182">
        <v>0.5</v>
      </c>
      <c r="G114" s="180"/>
    </row>
    <row r="115" spans="2:7" outlineLevel="2">
      <c r="B115" s="185" t="str">
        <f t="shared" si="7"/>
        <v>Honor. Ventas</v>
      </c>
      <c r="C115" s="186">
        <f>0.918%*0</f>
        <v>0</v>
      </c>
      <c r="D115" s="200" t="s">
        <v>204</v>
      </c>
      <c r="E115" s="182">
        <v>0.5</v>
      </c>
      <c r="F115" s="182">
        <v>0.5</v>
      </c>
      <c r="G115" s="180"/>
    </row>
    <row r="116" spans="2:7" outlineLevel="1">
      <c r="B116" s="178" t="str">
        <f t="shared" si="7"/>
        <v>Util proyecto/Ventas</v>
      </c>
      <c r="C116" s="187">
        <v>0.06</v>
      </c>
      <c r="D116" s="200" t="s">
        <v>204</v>
      </c>
      <c r="E116" s="182">
        <v>0.5</v>
      </c>
      <c r="F116" s="182">
        <v>0.5</v>
      </c>
      <c r="G116" s="180"/>
    </row>
    <row r="117" spans="2:7" outlineLevel="1">
      <c r="B117" s="178" t="str">
        <f t="shared" si="7"/>
        <v>Credito Constructor</v>
      </c>
      <c r="C117" s="14"/>
      <c r="D117" s="200"/>
      <c r="E117" s="182">
        <v>1</v>
      </c>
      <c r="F117" s="182">
        <v>0</v>
      </c>
      <c r="G117" s="180"/>
    </row>
    <row r="118" spans="2:7" outlineLevel="1">
      <c r="B118" s="178" t="str">
        <f t="shared" si="7"/>
        <v>Costo Dir. Const/Ventas</v>
      </c>
      <c r="C118" s="182">
        <v>0.50907800000000003</v>
      </c>
      <c r="D118" s="200" t="s">
        <v>204</v>
      </c>
      <c r="E118" s="14"/>
      <c r="F118" s="14"/>
      <c r="G118" s="180"/>
    </row>
    <row r="119" spans="2:7" outlineLevel="1">
      <c r="B119" s="178"/>
      <c r="C119" s="188"/>
      <c r="D119" s="200"/>
      <c r="E119" s="14"/>
      <c r="F119" s="14"/>
      <c r="G119" s="180"/>
    </row>
    <row r="120" spans="2:7" outlineLevel="1">
      <c r="B120" s="178"/>
      <c r="C120" s="188" t="s">
        <v>214</v>
      </c>
      <c r="D120" s="200"/>
      <c r="E120" s="14" t="s">
        <v>96</v>
      </c>
      <c r="F120" s="14" t="s">
        <v>212</v>
      </c>
      <c r="G120" s="180" t="s">
        <v>213</v>
      </c>
    </row>
    <row r="121" spans="2:7" outlineLevel="1">
      <c r="B121" s="178" t="str">
        <f t="shared" si="7"/>
        <v>Ventas Proyecto AIA</v>
      </c>
      <c r="C121" s="189">
        <f>+C124+C125+C126+C127+C129</f>
        <v>0.50509077999999996</v>
      </c>
      <c r="D121" s="200"/>
      <c r="E121" s="190">
        <f>+E124+E125+E126+E127+E129</f>
        <v>0.49490922000000004</v>
      </c>
      <c r="F121" s="190">
        <f>+E121+C121</f>
        <v>1</v>
      </c>
      <c r="G121" s="191">
        <f>+F121-1</f>
        <v>0</v>
      </c>
    </row>
    <row r="122" spans="2:7" outlineLevel="1">
      <c r="B122" s="178" t="str">
        <f t="shared" si="7"/>
        <v>Margen total</v>
      </c>
      <c r="C122" s="189">
        <f>+C124+C125+C126+(C127-C128)+C131</f>
        <v>5.723567299999998E-2</v>
      </c>
      <c r="D122" s="200"/>
      <c r="E122" s="189">
        <f>+E124+E125+E126+(E127-E128)+E131</f>
        <v>4.7054112999999981E-2</v>
      </c>
      <c r="F122" s="190">
        <f>+E122+C122</f>
        <v>0.10428978599999997</v>
      </c>
      <c r="G122" s="191">
        <f>+F122-G109-G110-G111-C116-C113-C114-C115</f>
        <v>-4.163336342344337E-17</v>
      </c>
    </row>
    <row r="123" spans="2:7" outlineLevel="1">
      <c r="B123" s="178"/>
      <c r="C123" s="188"/>
      <c r="D123" s="200"/>
      <c r="E123" s="188"/>
      <c r="F123" s="14"/>
      <c r="G123" s="180"/>
    </row>
    <row r="124" spans="2:7" outlineLevel="1">
      <c r="B124" s="178" t="str">
        <f t="shared" si="7"/>
        <v>Ventas Arquitectura</v>
      </c>
      <c r="C124" s="192">
        <f>IF(Arq="Si",0,+G109*F109)</f>
        <v>1.0181560000000001E-2</v>
      </c>
      <c r="D124" s="200" t="s">
        <v>204</v>
      </c>
      <c r="E124" s="193">
        <f>+E109*G109</f>
        <v>0</v>
      </c>
      <c r="F124" s="190">
        <f t="shared" ref="F124:F129" si="8">+E124+C124</f>
        <v>1.0181560000000001E-2</v>
      </c>
      <c r="G124" s="194">
        <f>+F124-G109</f>
        <v>0</v>
      </c>
    </row>
    <row r="125" spans="2:7" outlineLevel="1">
      <c r="B125" s="178" t="str">
        <f t="shared" si="7"/>
        <v>Ventas Preconstrucción</v>
      </c>
      <c r="C125" s="193">
        <f>+G110*F110</f>
        <v>0</v>
      </c>
      <c r="D125" s="200" t="s">
        <v>204</v>
      </c>
      <c r="E125" s="193">
        <f>+E110*G110</f>
        <v>0</v>
      </c>
      <c r="F125" s="190">
        <f t="shared" si="8"/>
        <v>0</v>
      </c>
      <c r="G125" s="194">
        <f>+F125-G110</f>
        <v>0</v>
      </c>
    </row>
    <row r="126" spans="2:7" outlineLevel="1">
      <c r="B126" s="178" t="str">
        <f t="shared" si="7"/>
        <v>Ingresos como inversionista</v>
      </c>
      <c r="C126" s="193">
        <f>+C116*F116</f>
        <v>0.03</v>
      </c>
      <c r="D126" s="200" t="s">
        <v>204</v>
      </c>
      <c r="E126" s="193">
        <f>+C116*E116</f>
        <v>0.03</v>
      </c>
      <c r="F126" s="190">
        <f t="shared" si="8"/>
        <v>0.06</v>
      </c>
      <c r="G126" s="194">
        <f>+F126-C116</f>
        <v>0</v>
      </c>
    </row>
    <row r="127" spans="2:7" outlineLevel="1">
      <c r="B127" s="178" t="str">
        <f t="shared" si="7"/>
        <v>Ventas Construcción</v>
      </c>
      <c r="C127" s="193">
        <f>+F111*(C118+G111)</f>
        <v>0.271593113</v>
      </c>
      <c r="D127" s="200" t="s">
        <v>204</v>
      </c>
      <c r="E127" s="193">
        <f>+E111*(C118+G111)</f>
        <v>0.271593113</v>
      </c>
      <c r="F127" s="190">
        <f t="shared" si="8"/>
        <v>0.54318622599999999</v>
      </c>
      <c r="G127" s="194">
        <f>+F127-C118-G111</f>
        <v>0</v>
      </c>
    </row>
    <row r="128" spans="2:7" outlineLevel="1">
      <c r="B128" s="178" t="str">
        <f t="shared" si="7"/>
        <v>Costo Construcción</v>
      </c>
      <c r="C128" s="193">
        <f>+C118*F111</f>
        <v>0.25453900000000002</v>
      </c>
      <c r="D128" s="200" t="s">
        <v>204</v>
      </c>
      <c r="E128" s="193">
        <f>+E111*C118</f>
        <v>0.25453900000000002</v>
      </c>
      <c r="F128" s="190">
        <f t="shared" si="8"/>
        <v>0.50907800000000003</v>
      </c>
      <c r="G128" s="194">
        <f>+F128-C118</f>
        <v>0</v>
      </c>
    </row>
    <row r="129" spans="2:8" outlineLevel="1">
      <c r="B129" s="178" t="str">
        <f t="shared" si="7"/>
        <v>Ventas Inmobiliarias</v>
      </c>
      <c r="C129" s="193">
        <f>+(1-(F124+F125+F126+F127))*F112</f>
        <v>0.19331610700000001</v>
      </c>
      <c r="D129" s="200" t="s">
        <v>204</v>
      </c>
      <c r="E129" s="193">
        <f>+(1-(F124+F125+F126+F127))*E112</f>
        <v>0.19331610700000001</v>
      </c>
      <c r="F129" s="190">
        <f t="shared" si="8"/>
        <v>0.38663221400000003</v>
      </c>
      <c r="G129" s="194"/>
    </row>
    <row r="130" spans="2:8" outlineLevel="1">
      <c r="B130" s="178" t="str">
        <f t="shared" si="7"/>
        <v>Costo Inmobiliario</v>
      </c>
      <c r="C130" s="190">
        <f>+C129-C131</f>
        <v>0.19331610700000001</v>
      </c>
      <c r="D130" s="200" t="s">
        <v>204</v>
      </c>
      <c r="E130" s="193">
        <f>+E129-E131</f>
        <v>0.19331610700000001</v>
      </c>
      <c r="F130" s="190">
        <f>+F129-F131</f>
        <v>0.38663221400000003</v>
      </c>
      <c r="G130" s="194"/>
    </row>
    <row r="131" spans="2:8" ht="17" outlineLevel="1" thickBot="1">
      <c r="B131" s="195" t="str">
        <f t="shared" si="7"/>
        <v>Utilidad Inmobiliaria</v>
      </c>
      <c r="C131" s="196">
        <f>+C113*F113+C114*F114+C115*F115</f>
        <v>0</v>
      </c>
      <c r="D131" s="201" t="s">
        <v>204</v>
      </c>
      <c r="E131" s="196">
        <f>+C113*E113+C114*E114+C115*E115</f>
        <v>0</v>
      </c>
      <c r="F131" s="197">
        <f>+E131+C131</f>
        <v>0</v>
      </c>
      <c r="G131" s="198">
        <f>+F131-C113-C114-C115</f>
        <v>0</v>
      </c>
    </row>
    <row r="132" spans="2:8" ht="17" thickTop="1">
      <c r="B132" s="175" t="s">
        <v>180</v>
      </c>
      <c r="C132" s="176"/>
      <c r="D132" s="199"/>
      <c r="E132" s="176"/>
      <c r="F132" s="176"/>
      <c r="G132" s="177"/>
    </row>
    <row r="133" spans="2:8" outlineLevel="1">
      <c r="B133" s="178" t="str">
        <f>+B108</f>
        <v>Nro apartamentos totales</v>
      </c>
      <c r="C133" s="179"/>
      <c r="D133" s="200"/>
      <c r="E133" s="14"/>
      <c r="F133" s="14"/>
      <c r="G133" s="180"/>
    </row>
    <row r="134" spans="2:8" outlineLevel="1">
      <c r="B134" s="178" t="str">
        <f t="shared" ref="B134:B156" si="9">+B109</f>
        <v>Honor Arquitectura</v>
      </c>
      <c r="C134" s="181">
        <v>0</v>
      </c>
      <c r="D134" s="200" t="s">
        <v>195</v>
      </c>
      <c r="E134" s="182"/>
      <c r="F134" s="182"/>
      <c r="G134" s="183">
        <f>+C134*C143</f>
        <v>0</v>
      </c>
      <c r="H134" t="s">
        <v>204</v>
      </c>
    </row>
    <row r="135" spans="2:8" outlineLevel="1">
      <c r="B135" s="178" t="str">
        <f t="shared" si="9"/>
        <v>Honor Preconstrucción</v>
      </c>
      <c r="C135" s="181">
        <v>0</v>
      </c>
      <c r="D135" s="200" t="s">
        <v>195</v>
      </c>
      <c r="E135" s="182"/>
      <c r="F135" s="182"/>
      <c r="G135" s="183">
        <f>+C135*$C$143</f>
        <v>0</v>
      </c>
      <c r="H135" t="s">
        <v>204</v>
      </c>
    </row>
    <row r="136" spans="2:8" outlineLevel="1">
      <c r="B136" s="178" t="str">
        <f t="shared" si="9"/>
        <v>Honor Construcción</v>
      </c>
      <c r="C136" s="184"/>
      <c r="D136" s="200" t="s">
        <v>195</v>
      </c>
      <c r="E136" s="182"/>
      <c r="F136" s="182">
        <v>1</v>
      </c>
      <c r="G136" s="183">
        <f>+C136*$C$143</f>
        <v>0</v>
      </c>
      <c r="H136" t="s">
        <v>204</v>
      </c>
    </row>
    <row r="137" spans="2:8" outlineLevel="1">
      <c r="B137" s="178" t="str">
        <f t="shared" si="9"/>
        <v>Honor Inmobiliario</v>
      </c>
      <c r="C137" s="15"/>
      <c r="D137" s="200"/>
      <c r="E137" s="14">
        <f>IFERROR(+(E138*C138+E139*C139+E140*C140)/(C138+C139+C140),50%)</f>
        <v>0.5</v>
      </c>
      <c r="F137" s="14">
        <f>+IFERROR((F138*C138+F139*C139+F140*C140)/(C138+C139+C140),50%)</f>
        <v>0.5</v>
      </c>
      <c r="G137" s="180"/>
    </row>
    <row r="138" spans="2:8" outlineLevel="2">
      <c r="B138" s="185" t="str">
        <f t="shared" si="9"/>
        <v>Honor. Estructuración</v>
      </c>
      <c r="C138" s="186">
        <v>0</v>
      </c>
      <c r="D138" s="200" t="s">
        <v>204</v>
      </c>
      <c r="E138" s="182"/>
      <c r="F138" s="182"/>
      <c r="G138" s="180"/>
    </row>
    <row r="139" spans="2:8" outlineLevel="2">
      <c r="B139" s="185" t="str">
        <f t="shared" si="9"/>
        <v>Honor Gerencia</v>
      </c>
      <c r="C139" s="186">
        <v>0</v>
      </c>
      <c r="D139" s="200" t="s">
        <v>204</v>
      </c>
      <c r="E139" s="182">
        <v>1</v>
      </c>
      <c r="F139" s="182"/>
      <c r="G139" s="180"/>
    </row>
    <row r="140" spans="2:8" outlineLevel="2">
      <c r="B140" s="185" t="str">
        <f t="shared" si="9"/>
        <v>Honor. Ventas</v>
      </c>
      <c r="C140" s="186">
        <v>0</v>
      </c>
      <c r="D140" s="200" t="s">
        <v>204</v>
      </c>
      <c r="E140" s="182"/>
      <c r="F140" s="182"/>
      <c r="G140" s="180"/>
    </row>
    <row r="141" spans="2:8" outlineLevel="1">
      <c r="B141" s="178" t="str">
        <f t="shared" si="9"/>
        <v>Util proyecto/Ventas</v>
      </c>
      <c r="C141" s="187">
        <f>-318.326022/28219.130553</f>
        <v>-1.1280504245236519E-2</v>
      </c>
      <c r="D141" s="200" t="s">
        <v>204</v>
      </c>
      <c r="E141" s="182">
        <v>0.53</v>
      </c>
      <c r="F141" s="182">
        <v>0.47</v>
      </c>
      <c r="G141" s="180"/>
    </row>
    <row r="142" spans="2:8" outlineLevel="1">
      <c r="B142" s="178" t="str">
        <f t="shared" si="9"/>
        <v>Credito Constructor</v>
      </c>
      <c r="C142" s="14"/>
      <c r="D142" s="200"/>
      <c r="E142" s="182">
        <v>0.53</v>
      </c>
      <c r="F142" s="182">
        <v>0.47</v>
      </c>
      <c r="G142" s="180"/>
    </row>
    <row r="143" spans="2:8" outlineLevel="1">
      <c r="B143" s="178" t="str">
        <f t="shared" si="9"/>
        <v>Costo Dir. Const/Ventas</v>
      </c>
      <c r="C143" s="182">
        <f>20802.000029/28219.130553</f>
        <v>0.7371594950429301</v>
      </c>
      <c r="D143" s="200" t="s">
        <v>204</v>
      </c>
      <c r="E143" s="14"/>
      <c r="F143" s="14"/>
      <c r="G143" s="180"/>
    </row>
    <row r="144" spans="2:8" outlineLevel="1">
      <c r="B144" s="178"/>
      <c r="C144" s="188"/>
      <c r="D144" s="200"/>
      <c r="E144" s="14"/>
      <c r="F144" s="14"/>
      <c r="G144" s="180"/>
    </row>
    <row r="145" spans="2:8" outlineLevel="1">
      <c r="B145" s="178"/>
      <c r="C145" s="188" t="s">
        <v>214</v>
      </c>
      <c r="D145" s="200"/>
      <c r="E145" s="14" t="s">
        <v>96</v>
      </c>
      <c r="F145" s="14" t="s">
        <v>212</v>
      </c>
      <c r="G145" s="180" t="s">
        <v>213</v>
      </c>
    </row>
    <row r="146" spans="2:8" outlineLevel="1">
      <c r="B146" s="178" t="str">
        <f t="shared" si="9"/>
        <v>Ventas Proyecto AIA</v>
      </c>
      <c r="C146" s="189">
        <f>+C149+C150+C151+C152+C154</f>
        <v>0.86891816264882205</v>
      </c>
      <c r="D146" s="200"/>
      <c r="E146" s="190">
        <f>+E149+E150+E151+E152+E154</f>
        <v>0.13108183735117784</v>
      </c>
      <c r="F146" s="190">
        <f>+E146+C146</f>
        <v>0.99999999999999989</v>
      </c>
      <c r="G146" s="191">
        <f>+F146-1</f>
        <v>0</v>
      </c>
    </row>
    <row r="147" spans="2:8" outlineLevel="1">
      <c r="B147" s="178" t="str">
        <f t="shared" si="9"/>
        <v>Margen total</v>
      </c>
      <c r="C147" s="189">
        <f>+C149+C150+C151+(C152-C153)+C156</f>
        <v>-5.3018369952611633E-3</v>
      </c>
      <c r="D147" s="200"/>
      <c r="E147" s="189">
        <f>+E149+E150+E151+(E152-E153)+E156</f>
        <v>-5.9786672499753555E-3</v>
      </c>
      <c r="F147" s="190">
        <f>+E147+C147</f>
        <v>-1.1280504245236519E-2</v>
      </c>
      <c r="G147" s="191">
        <f>+F147-G134-G135-G136-C141-C138-C139-C140</f>
        <v>0</v>
      </c>
    </row>
    <row r="148" spans="2:8" outlineLevel="1">
      <c r="B148" s="178"/>
      <c r="C148" s="188"/>
      <c r="D148" s="200"/>
      <c r="E148" s="188"/>
      <c r="F148" s="14"/>
      <c r="G148" s="180"/>
    </row>
    <row r="149" spans="2:8" outlineLevel="1">
      <c r="B149" s="178" t="str">
        <f t="shared" si="9"/>
        <v>Ventas Arquitectura</v>
      </c>
      <c r="C149" s="192">
        <f>IF(Arq="Si",0,+G134*F134)</f>
        <v>0</v>
      </c>
      <c r="D149" s="200" t="s">
        <v>204</v>
      </c>
      <c r="E149" s="193">
        <f>+E134*G134</f>
        <v>0</v>
      </c>
      <c r="F149" s="190">
        <f t="shared" ref="F149:F154" si="10">+E149+C149</f>
        <v>0</v>
      </c>
      <c r="G149" s="194">
        <f>+F149-G134</f>
        <v>0</v>
      </c>
    </row>
    <row r="150" spans="2:8" outlineLevel="1">
      <c r="B150" s="178" t="str">
        <f t="shared" si="9"/>
        <v>Ventas Preconstrucción</v>
      </c>
      <c r="C150" s="193">
        <f>+G135*F135</f>
        <v>0</v>
      </c>
      <c r="D150" s="200" t="s">
        <v>204</v>
      </c>
      <c r="E150" s="193">
        <f>+E135*G135</f>
        <v>0</v>
      </c>
      <c r="F150" s="190">
        <f t="shared" si="10"/>
        <v>0</v>
      </c>
      <c r="G150" s="194">
        <f>+F150-G135</f>
        <v>0</v>
      </c>
    </row>
    <row r="151" spans="2:8" outlineLevel="1">
      <c r="B151" s="178" t="str">
        <f t="shared" si="9"/>
        <v>Ingresos como inversionista</v>
      </c>
      <c r="C151" s="193">
        <f>+C141*F141</f>
        <v>-5.3018369952611633E-3</v>
      </c>
      <c r="D151" s="200" t="s">
        <v>204</v>
      </c>
      <c r="E151" s="193">
        <f>+C141*E141</f>
        <v>-5.9786672499753555E-3</v>
      </c>
      <c r="F151" s="190">
        <f t="shared" si="10"/>
        <v>-1.1280504245236519E-2</v>
      </c>
      <c r="G151" s="194">
        <f>+F151-C141</f>
        <v>0</v>
      </c>
    </row>
    <row r="152" spans="2:8" outlineLevel="1">
      <c r="B152" s="178" t="str">
        <f t="shared" si="9"/>
        <v>Ventas Construcción</v>
      </c>
      <c r="C152" s="193">
        <f>+F136*(C143+G136)</f>
        <v>0.7371594950429301</v>
      </c>
      <c r="D152" s="200" t="s">
        <v>204</v>
      </c>
      <c r="E152" s="193">
        <f>+E136*(C143+G136)</f>
        <v>0</v>
      </c>
      <c r="F152" s="190">
        <f t="shared" si="10"/>
        <v>0.7371594950429301</v>
      </c>
      <c r="G152" s="194">
        <f>+F152-C143-G136</f>
        <v>0</v>
      </c>
    </row>
    <row r="153" spans="2:8" outlineLevel="1">
      <c r="B153" s="178" t="str">
        <f t="shared" si="9"/>
        <v>Costo Construcción</v>
      </c>
      <c r="C153" s="193">
        <f>+C143*F136</f>
        <v>0.7371594950429301</v>
      </c>
      <c r="D153" s="200" t="s">
        <v>204</v>
      </c>
      <c r="E153" s="193">
        <f>+E136*C143</f>
        <v>0</v>
      </c>
      <c r="F153" s="190">
        <f t="shared" si="10"/>
        <v>0.7371594950429301</v>
      </c>
      <c r="G153" s="194">
        <f>+F153-C143</f>
        <v>0</v>
      </c>
    </row>
    <row r="154" spans="2:8" outlineLevel="1">
      <c r="B154" s="178" t="str">
        <f t="shared" si="9"/>
        <v>Ventas Inmobiliarias</v>
      </c>
      <c r="C154" s="193">
        <f>+(1-(F149+F150+F151+F152))*F137</f>
        <v>0.13706050460115321</v>
      </c>
      <c r="D154" s="200" t="s">
        <v>204</v>
      </c>
      <c r="E154" s="193">
        <f>+(1-(F149+F150+F151+F152))*E137</f>
        <v>0.13706050460115321</v>
      </c>
      <c r="F154" s="190">
        <f t="shared" si="10"/>
        <v>0.27412100920230642</v>
      </c>
      <c r="G154" s="194"/>
    </row>
    <row r="155" spans="2:8" outlineLevel="1">
      <c r="B155" s="178" t="str">
        <f t="shared" si="9"/>
        <v>Costo Inmobiliario</v>
      </c>
      <c r="C155" s="190">
        <f>+C154-C156</f>
        <v>0.13706050460115321</v>
      </c>
      <c r="D155" s="200" t="s">
        <v>204</v>
      </c>
      <c r="E155" s="193">
        <f>+E154-E156</f>
        <v>0.13706050460115321</v>
      </c>
      <c r="F155" s="190">
        <f>+F154-F156</f>
        <v>0.27412100920230642</v>
      </c>
      <c r="G155" s="194"/>
    </row>
    <row r="156" spans="2:8" ht="17" outlineLevel="1" thickBot="1">
      <c r="B156" s="195" t="str">
        <f t="shared" si="9"/>
        <v>Utilidad Inmobiliaria</v>
      </c>
      <c r="C156" s="196">
        <f>+C138*F138+C139*F139+C140*F140</f>
        <v>0</v>
      </c>
      <c r="D156" s="201" t="s">
        <v>204</v>
      </c>
      <c r="E156" s="196">
        <f>+C138*E138+C139*E139+C140*E140</f>
        <v>0</v>
      </c>
      <c r="F156" s="197">
        <f>+E156+C156</f>
        <v>0</v>
      </c>
      <c r="G156" s="198">
        <f>+F156-C138-C139-C140</f>
        <v>0</v>
      </c>
    </row>
    <row r="157" spans="2:8" ht="17" thickTop="1">
      <c r="B157" s="175" t="s">
        <v>228</v>
      </c>
      <c r="C157" s="176"/>
      <c r="D157" s="199"/>
      <c r="E157" s="176"/>
      <c r="F157" s="176"/>
      <c r="G157" s="177"/>
    </row>
    <row r="158" spans="2:8" outlineLevel="1">
      <c r="B158" s="178" t="str">
        <f>+B133</f>
        <v>Nro apartamentos totales</v>
      </c>
      <c r="C158" s="179"/>
      <c r="D158" s="200"/>
      <c r="E158" s="14"/>
      <c r="F158" s="14"/>
      <c r="G158" s="180"/>
    </row>
    <row r="159" spans="2:8" outlineLevel="1">
      <c r="B159" s="178" t="str">
        <f t="shared" ref="B159:B181" si="11">+B134</f>
        <v>Honor Arquitectura</v>
      </c>
      <c r="C159" s="181">
        <v>0</v>
      </c>
      <c r="D159" s="200" t="s">
        <v>195</v>
      </c>
      <c r="E159" s="182"/>
      <c r="F159" s="182"/>
      <c r="G159" s="183">
        <f>+C159*C168</f>
        <v>0</v>
      </c>
      <c r="H159" t="s">
        <v>204</v>
      </c>
    </row>
    <row r="160" spans="2:8" outlineLevel="1">
      <c r="B160" s="178" t="str">
        <f t="shared" si="11"/>
        <v>Honor Preconstrucción</v>
      </c>
      <c r="C160" s="181">
        <v>0</v>
      </c>
      <c r="D160" s="200" t="s">
        <v>195</v>
      </c>
      <c r="E160" s="182"/>
      <c r="F160" s="182"/>
      <c r="G160" s="183">
        <f>+C160*$C$168</f>
        <v>0</v>
      </c>
      <c r="H160" t="s">
        <v>204</v>
      </c>
    </row>
    <row r="161" spans="2:8" outlineLevel="1">
      <c r="B161" s="178" t="str">
        <f t="shared" si="11"/>
        <v>Honor Construcción</v>
      </c>
      <c r="C161" s="184">
        <f>500/(17117.415525)</f>
        <v>2.9210017088721691E-2</v>
      </c>
      <c r="D161" s="200" t="s">
        <v>195</v>
      </c>
      <c r="E161" s="182"/>
      <c r="F161" s="182">
        <v>1</v>
      </c>
      <c r="G161" s="183">
        <f>+C161*$C$168</f>
        <v>1.4243449897223034E-2</v>
      </c>
      <c r="H161" t="s">
        <v>204</v>
      </c>
    </row>
    <row r="162" spans="2:8" outlineLevel="1">
      <c r="B162" s="178" t="str">
        <f t="shared" si="11"/>
        <v>Honor Inmobiliario</v>
      </c>
      <c r="C162" s="15"/>
      <c r="D162" s="200"/>
      <c r="E162" s="14">
        <f>IFERROR(+(E163*C163+E164*C164+E165*C165)/(C163+C164+C165),50%)</f>
        <v>1</v>
      </c>
      <c r="F162" s="14">
        <f>+IFERROR((F163*C163+F164*C164+F165*C165)/(C163+C164+C165),50%)</f>
        <v>0</v>
      </c>
      <c r="G162" s="180"/>
    </row>
    <row r="163" spans="2:8" outlineLevel="2">
      <c r="B163" s="185" t="str">
        <f t="shared" si="11"/>
        <v>Honor. Estructuración</v>
      </c>
      <c r="C163" s="186"/>
      <c r="D163" s="200" t="s">
        <v>204</v>
      </c>
      <c r="E163" s="182"/>
      <c r="F163" s="182"/>
      <c r="G163" s="180"/>
    </row>
    <row r="164" spans="2:8" outlineLevel="2">
      <c r="B164" s="185" t="str">
        <f t="shared" si="11"/>
        <v>Honor Gerencia</v>
      </c>
      <c r="C164" s="186">
        <f>+G161</f>
        <v>1.4243449897223034E-2</v>
      </c>
      <c r="D164" s="200" t="s">
        <v>204</v>
      </c>
      <c r="E164" s="182">
        <v>1</v>
      </c>
      <c r="F164" s="182"/>
      <c r="G164" s="180"/>
    </row>
    <row r="165" spans="2:8" outlineLevel="2">
      <c r="B165" s="185" t="str">
        <f t="shared" si="11"/>
        <v>Honor. Ventas</v>
      </c>
      <c r="C165" s="186"/>
      <c r="D165" s="200" t="s">
        <v>204</v>
      </c>
      <c r="E165" s="182"/>
      <c r="F165" s="182"/>
      <c r="G165" s="180"/>
    </row>
    <row r="166" spans="2:8" outlineLevel="1">
      <c r="B166" s="178" t="str">
        <f t="shared" si="11"/>
        <v>Util proyecto/Ventas</v>
      </c>
      <c r="C166" s="187">
        <f>7338.055827/35105.905776</f>
        <v>0.2090262497091481</v>
      </c>
      <c r="D166" s="200" t="s">
        <v>204</v>
      </c>
      <c r="E166" s="182">
        <v>0.53</v>
      </c>
      <c r="F166" s="182">
        <v>0.47</v>
      </c>
      <c r="G166" s="180"/>
    </row>
    <row r="167" spans="2:8" outlineLevel="1">
      <c r="B167" s="178" t="str">
        <f t="shared" si="11"/>
        <v>Credito Constructor</v>
      </c>
      <c r="C167" s="14"/>
      <c r="D167" s="200"/>
      <c r="E167" s="182"/>
      <c r="F167" s="182"/>
      <c r="G167" s="180"/>
    </row>
    <row r="168" spans="2:8" outlineLevel="1">
      <c r="B168" s="178" t="str">
        <f t="shared" si="11"/>
        <v>Costo Dir. Const/Ventas</v>
      </c>
      <c r="C168" s="182">
        <f>17118.415525/35105.905776</f>
        <v>0.48762210080057045</v>
      </c>
      <c r="D168" s="200" t="s">
        <v>204</v>
      </c>
      <c r="E168" s="14"/>
      <c r="F168" s="14"/>
      <c r="G168" s="180"/>
    </row>
    <row r="169" spans="2:8" outlineLevel="1">
      <c r="B169" s="178"/>
      <c r="C169" s="188"/>
      <c r="D169" s="200"/>
      <c r="E169" s="14"/>
      <c r="F169" s="14"/>
      <c r="G169" s="180"/>
    </row>
    <row r="170" spans="2:8" outlineLevel="1">
      <c r="B170" s="178"/>
      <c r="C170" s="188" t="s">
        <v>214</v>
      </c>
      <c r="D170" s="200"/>
      <c r="E170" s="14" t="s">
        <v>96</v>
      </c>
      <c r="F170" s="14" t="s">
        <v>212</v>
      </c>
      <c r="G170" s="180" t="s">
        <v>213</v>
      </c>
    </row>
    <row r="171" spans="2:8" outlineLevel="1">
      <c r="B171" s="178" t="str">
        <f t="shared" si="11"/>
        <v>Ventas Proyecto AIA</v>
      </c>
      <c r="C171" s="189">
        <f>+C174+C175+C176+C177+C179</f>
        <v>0.60010788806109305</v>
      </c>
      <c r="D171" s="200"/>
      <c r="E171" s="190">
        <f>+E174+E175+E176+E177+E179</f>
        <v>0.39989211193890695</v>
      </c>
      <c r="F171" s="190">
        <f>+E171+C171</f>
        <v>1</v>
      </c>
      <c r="G171" s="191">
        <f>+F171-1</f>
        <v>0</v>
      </c>
    </row>
    <row r="172" spans="2:8" outlineLevel="1">
      <c r="B172" s="178" t="str">
        <f t="shared" si="11"/>
        <v>Margen total</v>
      </c>
      <c r="C172" s="189">
        <f>+C174+C175+C176+(C177-C178)+C181</f>
        <v>0.11248578726052263</v>
      </c>
      <c r="D172" s="200"/>
      <c r="E172" s="189">
        <f>+E174+E175+E176+(E177-E178)+E181</f>
        <v>0.12502736224307154</v>
      </c>
      <c r="F172" s="190">
        <f>+E172+C172</f>
        <v>0.23751314950359417</v>
      </c>
      <c r="G172" s="191">
        <f>+F172-G159-G160-G161-C166-C163-C164-C165</f>
        <v>3.4694469519536142E-18</v>
      </c>
    </row>
    <row r="173" spans="2:8" outlineLevel="1">
      <c r="B173" s="178"/>
      <c r="C173" s="188"/>
      <c r="D173" s="200"/>
      <c r="E173" s="188"/>
      <c r="F173" s="14"/>
      <c r="G173" s="180"/>
    </row>
    <row r="174" spans="2:8" outlineLevel="1">
      <c r="B174" s="178" t="str">
        <f t="shared" si="11"/>
        <v>Ventas Arquitectura</v>
      </c>
      <c r="C174" s="192">
        <f>IF(Arq="Si",0,+G159*F159)</f>
        <v>0</v>
      </c>
      <c r="D174" s="200" t="s">
        <v>204</v>
      </c>
      <c r="E174" s="193">
        <f>+E159*G159</f>
        <v>0</v>
      </c>
      <c r="F174" s="190">
        <f t="shared" ref="F174:F179" si="12">+E174+C174</f>
        <v>0</v>
      </c>
      <c r="G174" s="194">
        <f>+F174-G159</f>
        <v>0</v>
      </c>
    </row>
    <row r="175" spans="2:8" outlineLevel="1">
      <c r="B175" s="178" t="str">
        <f t="shared" si="11"/>
        <v>Ventas Preconstrucción</v>
      </c>
      <c r="C175" s="193">
        <f>+G160*F160</f>
        <v>0</v>
      </c>
      <c r="D175" s="200" t="s">
        <v>204</v>
      </c>
      <c r="E175" s="193">
        <f>+E160*G160</f>
        <v>0</v>
      </c>
      <c r="F175" s="190">
        <f t="shared" si="12"/>
        <v>0</v>
      </c>
      <c r="G175" s="194">
        <f>+F175-G160</f>
        <v>0</v>
      </c>
    </row>
    <row r="176" spans="2:8" outlineLevel="1">
      <c r="B176" s="178" t="str">
        <f t="shared" si="11"/>
        <v>Ingresos como inversionista</v>
      </c>
      <c r="C176" s="193">
        <f>+C166*F166</f>
        <v>9.8242337363299598E-2</v>
      </c>
      <c r="D176" s="200" t="s">
        <v>204</v>
      </c>
      <c r="E176" s="193">
        <f>+C166*E166</f>
        <v>0.1107839123458485</v>
      </c>
      <c r="F176" s="190">
        <f t="shared" si="12"/>
        <v>0.2090262497091481</v>
      </c>
      <c r="G176" s="194">
        <f>+F176-C166</f>
        <v>0</v>
      </c>
    </row>
    <row r="177" spans="2:8" outlineLevel="1">
      <c r="B177" s="178" t="str">
        <f t="shared" si="11"/>
        <v>Ventas Construcción</v>
      </c>
      <c r="C177" s="193">
        <f>+F161*(C168+G161)</f>
        <v>0.50186555069779348</v>
      </c>
      <c r="D177" s="200" t="s">
        <v>204</v>
      </c>
      <c r="E177" s="193">
        <f>+E161*(C168+G161)</f>
        <v>0</v>
      </c>
      <c r="F177" s="190">
        <f t="shared" si="12"/>
        <v>0.50186555069779348</v>
      </c>
      <c r="G177" s="194">
        <f>+F177-C168-G161</f>
        <v>0</v>
      </c>
    </row>
    <row r="178" spans="2:8" outlineLevel="1">
      <c r="B178" s="178" t="str">
        <f t="shared" si="11"/>
        <v>Costo Construcción</v>
      </c>
      <c r="C178" s="193">
        <f>+C168*F161</f>
        <v>0.48762210080057045</v>
      </c>
      <c r="D178" s="200" t="s">
        <v>204</v>
      </c>
      <c r="E178" s="193">
        <f>+E161*C168</f>
        <v>0</v>
      </c>
      <c r="F178" s="190">
        <f t="shared" si="12"/>
        <v>0.48762210080057045</v>
      </c>
      <c r="G178" s="194">
        <f>+F178-C168</f>
        <v>0</v>
      </c>
    </row>
    <row r="179" spans="2:8" outlineLevel="1">
      <c r="B179" s="178" t="str">
        <f t="shared" si="11"/>
        <v>Ventas Inmobiliarias</v>
      </c>
      <c r="C179" s="193">
        <f>+(1-(F174+F175+F176+F177))*F162</f>
        <v>0</v>
      </c>
      <c r="D179" s="200" t="s">
        <v>204</v>
      </c>
      <c r="E179" s="193">
        <f>+(1-(F174+F175+F176+F177))*E162</f>
        <v>0.28910819959305845</v>
      </c>
      <c r="F179" s="190">
        <f t="shared" si="12"/>
        <v>0.28910819959305845</v>
      </c>
      <c r="G179" s="194"/>
    </row>
    <row r="180" spans="2:8" outlineLevel="1">
      <c r="B180" s="178" t="str">
        <f t="shared" si="11"/>
        <v>Costo Inmobiliario</v>
      </c>
      <c r="C180" s="190">
        <f>+C179-C181</f>
        <v>0</v>
      </c>
      <c r="D180" s="200" t="s">
        <v>204</v>
      </c>
      <c r="E180" s="193">
        <f>+E179-E181</f>
        <v>0.27486474969583541</v>
      </c>
      <c r="F180" s="190">
        <f>+F179-F181</f>
        <v>0.27486474969583541</v>
      </c>
      <c r="G180" s="194"/>
    </row>
    <row r="181" spans="2:8" ht="17" outlineLevel="1" thickBot="1">
      <c r="B181" s="195" t="str">
        <f t="shared" si="11"/>
        <v>Utilidad Inmobiliaria</v>
      </c>
      <c r="C181" s="196">
        <f>+C163*F163+C164*F164+C165*F165</f>
        <v>0</v>
      </c>
      <c r="D181" s="201" t="s">
        <v>204</v>
      </c>
      <c r="E181" s="196">
        <f>+C163*E163+C164*E164+C165*E165</f>
        <v>1.4243449897223034E-2</v>
      </c>
      <c r="F181" s="197">
        <f>+E181+C181</f>
        <v>1.4243449897223034E-2</v>
      </c>
      <c r="G181" s="198">
        <f>+F181-C163-C164-C165</f>
        <v>0</v>
      </c>
    </row>
    <row r="182" spans="2:8" ht="17" thickTop="1">
      <c r="B182" s="175" t="s">
        <v>183</v>
      </c>
      <c r="C182" s="176"/>
      <c r="D182" s="199"/>
      <c r="E182" s="176" t="str">
        <f>+E6</f>
        <v>Socios</v>
      </c>
      <c r="F182" s="176" t="str">
        <f>+F6</f>
        <v>Participación AIA</v>
      </c>
      <c r="G182" s="177"/>
    </row>
    <row r="183" spans="2:8" outlineLevel="1">
      <c r="B183" s="178" t="str">
        <f>+B158</f>
        <v>Nro apartamentos totales</v>
      </c>
      <c r="C183" s="179">
        <v>62</v>
      </c>
      <c r="D183" s="200"/>
      <c r="E183" s="14"/>
      <c r="F183" s="14"/>
      <c r="G183" s="180"/>
    </row>
    <row r="184" spans="2:8" outlineLevel="1">
      <c r="B184" s="178" t="str">
        <f t="shared" ref="B184:B206" si="13">+B159</f>
        <v>Honor Arquitectura</v>
      </c>
      <c r="C184" s="181">
        <v>5.0000000000000001E-3</v>
      </c>
      <c r="D184" s="200" t="s">
        <v>195</v>
      </c>
      <c r="E184" s="182">
        <v>0</v>
      </c>
      <c r="F184" s="182">
        <v>1</v>
      </c>
      <c r="G184" s="183">
        <f>+C184*C193</f>
        <v>2.8990000000000001E-3</v>
      </c>
      <c r="H184" t="s">
        <v>204</v>
      </c>
    </row>
    <row r="185" spans="2:8" outlineLevel="1">
      <c r="B185" s="178" t="str">
        <f t="shared" si="13"/>
        <v>Honor Preconstrucción</v>
      </c>
      <c r="C185" s="181">
        <v>2E-3</v>
      </c>
      <c r="D185" s="200" t="s">
        <v>195</v>
      </c>
      <c r="E185" s="182">
        <v>0</v>
      </c>
      <c r="F185" s="182">
        <v>1</v>
      </c>
      <c r="G185" s="183">
        <f>+C185*$C$193</f>
        <v>1.1596E-3</v>
      </c>
      <c r="H185" t="s">
        <v>204</v>
      </c>
    </row>
    <row r="186" spans="2:8" outlineLevel="1">
      <c r="B186" s="178" t="str">
        <f t="shared" si="13"/>
        <v>Honor Construcción</v>
      </c>
      <c r="C186" s="184">
        <v>7.0000000000000007E-2</v>
      </c>
      <c r="D186" s="200" t="s">
        <v>195</v>
      </c>
      <c r="E186" s="182">
        <v>0.5</v>
      </c>
      <c r="F186" s="182">
        <v>0.5</v>
      </c>
      <c r="G186" s="183">
        <f>+C186*$C$193</f>
        <v>4.0586000000000004E-2</v>
      </c>
      <c r="H186" t="s">
        <v>204</v>
      </c>
    </row>
    <row r="187" spans="2:8" outlineLevel="1">
      <c r="B187" s="178" t="str">
        <f t="shared" si="13"/>
        <v>Honor Inmobiliario</v>
      </c>
      <c r="C187" s="15"/>
      <c r="D187" s="200"/>
      <c r="E187" s="14">
        <f>IFERROR(+(E188*C188+E189*C189+E190*C190)/(C188+C189+C190),50%)</f>
        <v>0.5</v>
      </c>
      <c r="F187" s="14">
        <f>+IFERROR((F188*C188+F189*C189+F190*C190)/(C188+C189+C190),50%)</f>
        <v>0.5</v>
      </c>
      <c r="G187" s="180"/>
    </row>
    <row r="188" spans="2:8" outlineLevel="2">
      <c r="B188" s="185" t="str">
        <f t="shared" si="13"/>
        <v>Honor. Estructuración</v>
      </c>
      <c r="C188" s="186">
        <v>0.01</v>
      </c>
      <c r="D188" s="200" t="s">
        <v>204</v>
      </c>
      <c r="E188" s="182">
        <v>0.5</v>
      </c>
      <c r="F188" s="182">
        <v>0.5</v>
      </c>
      <c r="G188" s="180"/>
    </row>
    <row r="189" spans="2:8" outlineLevel="2">
      <c r="B189" s="185" t="str">
        <f t="shared" si="13"/>
        <v>Honor Gerencia</v>
      </c>
      <c r="C189" s="186">
        <v>0.03</v>
      </c>
      <c r="D189" s="200" t="s">
        <v>204</v>
      </c>
      <c r="E189" s="182">
        <v>0.5</v>
      </c>
      <c r="F189" s="182">
        <v>0.5</v>
      </c>
      <c r="G189" s="180"/>
    </row>
    <row r="190" spans="2:8" outlineLevel="2">
      <c r="B190" s="185" t="str">
        <f t="shared" si="13"/>
        <v>Honor. Ventas</v>
      </c>
      <c r="C190" s="186">
        <v>0.03</v>
      </c>
      <c r="D190" s="200" t="s">
        <v>204</v>
      </c>
      <c r="E190" s="182">
        <v>0.5</v>
      </c>
      <c r="F190" s="182">
        <v>0.5</v>
      </c>
      <c r="G190" s="180"/>
    </row>
    <row r="191" spans="2:8" outlineLevel="1">
      <c r="B191" s="178" t="str">
        <f t="shared" si="13"/>
        <v>Util proyecto/Ventas</v>
      </c>
      <c r="C191" s="187">
        <v>3.5000000000000003E-2</v>
      </c>
      <c r="D191" s="200" t="s">
        <v>204</v>
      </c>
      <c r="E191" s="182">
        <v>0.5</v>
      </c>
      <c r="F191" s="182">
        <v>0.5</v>
      </c>
      <c r="G191" s="180"/>
    </row>
    <row r="192" spans="2:8" outlineLevel="1">
      <c r="B192" s="178" t="str">
        <f t="shared" si="13"/>
        <v>Credito Constructor</v>
      </c>
      <c r="C192" s="14"/>
      <c r="D192" s="200"/>
      <c r="E192" s="182">
        <v>1</v>
      </c>
      <c r="F192" s="182">
        <v>0</v>
      </c>
      <c r="G192" s="180"/>
    </row>
    <row r="193" spans="2:7" outlineLevel="1">
      <c r="B193" s="178" t="str">
        <f t="shared" si="13"/>
        <v>Costo Dir. Const/Ventas</v>
      </c>
      <c r="C193" s="182">
        <v>0.57979999999999998</v>
      </c>
      <c r="D193" s="200" t="s">
        <v>204</v>
      </c>
      <c r="E193" s="14"/>
      <c r="F193" s="14"/>
      <c r="G193" s="180"/>
    </row>
    <row r="194" spans="2:7" outlineLevel="1">
      <c r="B194" s="178"/>
      <c r="C194" s="188"/>
      <c r="D194" s="200"/>
      <c r="E194" s="14"/>
      <c r="F194" s="14"/>
      <c r="G194" s="180"/>
    </row>
    <row r="195" spans="2:7" outlineLevel="1">
      <c r="B195" s="178"/>
      <c r="C195" s="188" t="s">
        <v>214</v>
      </c>
      <c r="D195" s="200"/>
      <c r="E195" s="14" t="s">
        <v>96</v>
      </c>
      <c r="F195" s="14" t="s">
        <v>212</v>
      </c>
      <c r="G195" s="180" t="s">
        <v>213</v>
      </c>
    </row>
    <row r="196" spans="2:7" outlineLevel="1">
      <c r="B196" s="178" t="str">
        <f t="shared" si="13"/>
        <v>Ventas Proyecto AIA</v>
      </c>
      <c r="C196" s="189">
        <f>+C199+C200+C201+C202+C204</f>
        <v>0.50202930000000001</v>
      </c>
      <c r="D196" s="200"/>
      <c r="E196" s="190">
        <f>+E199+E200+E201+E202+E204</f>
        <v>0.49797069999999999</v>
      </c>
      <c r="F196" s="190">
        <f>+E196+C196</f>
        <v>1</v>
      </c>
      <c r="G196" s="191">
        <f>+F196-1</f>
        <v>0</v>
      </c>
    </row>
    <row r="197" spans="2:7" outlineLevel="1">
      <c r="B197" s="178" t="str">
        <f t="shared" si="13"/>
        <v>Margen total</v>
      </c>
      <c r="C197" s="189">
        <f>+C199+C200+C201+(C202-C203)+C206</f>
        <v>7.6851600000000006E-2</v>
      </c>
      <c r="D197" s="200"/>
      <c r="E197" s="189">
        <f>+E199+E200+E201+(E202-E203)+E206</f>
        <v>7.279300000000001E-2</v>
      </c>
      <c r="F197" s="190">
        <f>+E197+C197</f>
        <v>0.14964460000000002</v>
      </c>
      <c r="G197" s="191">
        <f>+F197-G184-G185-G186-C191-C188-C189-C190</f>
        <v>0</v>
      </c>
    </row>
    <row r="198" spans="2:7" outlineLevel="1">
      <c r="B198" s="178"/>
      <c r="C198" s="188"/>
      <c r="D198" s="200"/>
      <c r="E198" s="188"/>
      <c r="F198" s="14"/>
      <c r="G198" s="180"/>
    </row>
    <row r="199" spans="2:7" outlineLevel="1">
      <c r="B199" s="178" t="str">
        <f t="shared" si="13"/>
        <v>Ventas Arquitectura</v>
      </c>
      <c r="C199" s="192">
        <f>IF(Arq="Si",0,+G184*F184)</f>
        <v>2.8990000000000001E-3</v>
      </c>
      <c r="D199" s="200" t="s">
        <v>204</v>
      </c>
      <c r="E199" s="193">
        <f>+E184*G184</f>
        <v>0</v>
      </c>
      <c r="F199" s="190">
        <f t="shared" ref="F199:F204" si="14">+E199+C199</f>
        <v>2.8990000000000001E-3</v>
      </c>
      <c r="G199" s="194">
        <f>+F199-G184</f>
        <v>0</v>
      </c>
    </row>
    <row r="200" spans="2:7" outlineLevel="1">
      <c r="B200" s="178" t="str">
        <f t="shared" si="13"/>
        <v>Ventas Preconstrucción</v>
      </c>
      <c r="C200" s="193">
        <f>+G185*F185</f>
        <v>1.1596E-3</v>
      </c>
      <c r="D200" s="200" t="s">
        <v>204</v>
      </c>
      <c r="E200" s="193">
        <f>+E185*G185</f>
        <v>0</v>
      </c>
      <c r="F200" s="190">
        <f t="shared" si="14"/>
        <v>1.1596E-3</v>
      </c>
      <c r="G200" s="194">
        <f>+F200-G185</f>
        <v>0</v>
      </c>
    </row>
    <row r="201" spans="2:7" outlineLevel="1">
      <c r="B201" s="178" t="str">
        <f t="shared" si="13"/>
        <v>Ingresos como inversionista</v>
      </c>
      <c r="C201" s="193">
        <f>+C191*F191</f>
        <v>1.7500000000000002E-2</v>
      </c>
      <c r="D201" s="200" t="s">
        <v>204</v>
      </c>
      <c r="E201" s="193">
        <f>+C191*E191</f>
        <v>1.7500000000000002E-2</v>
      </c>
      <c r="F201" s="190">
        <f t="shared" si="14"/>
        <v>3.5000000000000003E-2</v>
      </c>
      <c r="G201" s="194">
        <f>+F201-C191</f>
        <v>0</v>
      </c>
    </row>
    <row r="202" spans="2:7" outlineLevel="1">
      <c r="B202" s="178" t="str">
        <f t="shared" si="13"/>
        <v>Ventas Construcción</v>
      </c>
      <c r="C202" s="193">
        <f>+F186*(C193+G186)</f>
        <v>0.310193</v>
      </c>
      <c r="D202" s="200" t="s">
        <v>204</v>
      </c>
      <c r="E202" s="193">
        <f>+E186*(C193+G186)</f>
        <v>0.310193</v>
      </c>
      <c r="F202" s="190">
        <f t="shared" si="14"/>
        <v>0.62038599999999999</v>
      </c>
      <c r="G202" s="194">
        <f>+F202-C193-G186</f>
        <v>0</v>
      </c>
    </row>
    <row r="203" spans="2:7" outlineLevel="1">
      <c r="B203" s="178" t="str">
        <f t="shared" si="13"/>
        <v>Costo Construcción</v>
      </c>
      <c r="C203" s="193">
        <f>+C193*F186</f>
        <v>0.28989999999999999</v>
      </c>
      <c r="D203" s="200" t="s">
        <v>204</v>
      </c>
      <c r="E203" s="193">
        <f>+E186*C193</f>
        <v>0.28989999999999999</v>
      </c>
      <c r="F203" s="190">
        <f t="shared" si="14"/>
        <v>0.57979999999999998</v>
      </c>
      <c r="G203" s="194">
        <f>+F203-C193</f>
        <v>0</v>
      </c>
    </row>
    <row r="204" spans="2:7" outlineLevel="1">
      <c r="B204" s="178" t="str">
        <f t="shared" si="13"/>
        <v>Ventas Inmobiliarias</v>
      </c>
      <c r="C204" s="193">
        <f>+(1-(F199+F200+F201+F202))*F187</f>
        <v>0.17027769999999998</v>
      </c>
      <c r="D204" s="200" t="s">
        <v>204</v>
      </c>
      <c r="E204" s="193">
        <f>+(1-(F199+F200+F201+F202))*E187</f>
        <v>0.17027769999999998</v>
      </c>
      <c r="F204" s="190">
        <f t="shared" si="14"/>
        <v>0.34055539999999995</v>
      </c>
      <c r="G204" s="194"/>
    </row>
    <row r="205" spans="2:7" outlineLevel="1">
      <c r="B205" s="178" t="str">
        <f t="shared" si="13"/>
        <v>Costo Inmobiliario</v>
      </c>
      <c r="C205" s="190">
        <f>+C204-C206</f>
        <v>0.13527769999999997</v>
      </c>
      <c r="D205" s="200" t="s">
        <v>204</v>
      </c>
      <c r="E205" s="193">
        <f>+E204-E206</f>
        <v>0.13527769999999997</v>
      </c>
      <c r="F205" s="190">
        <f>+F204-F206</f>
        <v>0.27055539999999995</v>
      </c>
      <c r="G205" s="194"/>
    </row>
    <row r="206" spans="2:7" ht="17" outlineLevel="1" thickBot="1">
      <c r="B206" s="195" t="str">
        <f t="shared" si="13"/>
        <v>Utilidad Inmobiliaria</v>
      </c>
      <c r="C206" s="196">
        <f>+C188*F188+C189*F189+C190*F190</f>
        <v>3.5000000000000003E-2</v>
      </c>
      <c r="D206" s="201" t="s">
        <v>204</v>
      </c>
      <c r="E206" s="196">
        <f>+C188*E188+C189*E189+C190*E190</f>
        <v>3.5000000000000003E-2</v>
      </c>
      <c r="F206" s="197">
        <f>+E206+C206</f>
        <v>7.0000000000000007E-2</v>
      </c>
      <c r="G206" s="198">
        <f>+F206-C188-C189-C190</f>
        <v>0</v>
      </c>
    </row>
    <row r="207" spans="2:7" ht="17" thickTop="1">
      <c r="B207" s="175" t="s">
        <v>184</v>
      </c>
      <c r="C207" s="176"/>
      <c r="D207" s="199"/>
      <c r="E207" s="176" t="s">
        <v>234</v>
      </c>
      <c r="F207" s="176"/>
      <c r="G207" s="177"/>
    </row>
    <row r="208" spans="2:7" outlineLevel="1">
      <c r="B208" s="178" t="str">
        <f>+B183</f>
        <v>Nro apartamentos totales</v>
      </c>
      <c r="C208" s="179">
        <f>+C183</f>
        <v>62</v>
      </c>
      <c r="D208" s="200"/>
      <c r="E208" s="14"/>
      <c r="F208" s="14"/>
      <c r="G208" s="180"/>
    </row>
    <row r="209" spans="2:8" outlineLevel="1">
      <c r="B209" s="178" t="str">
        <f t="shared" ref="B209:B231" si="15">+B184</f>
        <v>Honor Arquitectura</v>
      </c>
      <c r="C209" s="181">
        <f>+C184</f>
        <v>5.0000000000000001E-3</v>
      </c>
      <c r="D209" s="200" t="s">
        <v>195</v>
      </c>
      <c r="E209" s="182">
        <v>0</v>
      </c>
      <c r="F209" s="182">
        <v>1</v>
      </c>
      <c r="G209" s="183">
        <f>+C209*C218</f>
        <v>2.8990000000000001E-3</v>
      </c>
      <c r="H209" t="s">
        <v>204</v>
      </c>
    </row>
    <row r="210" spans="2:8" outlineLevel="1">
      <c r="B210" s="178" t="str">
        <f t="shared" si="15"/>
        <v>Honor Preconstrucción</v>
      </c>
      <c r="C210" s="181">
        <f>+C185</f>
        <v>2E-3</v>
      </c>
      <c r="D210" s="200" t="s">
        <v>195</v>
      </c>
      <c r="E210" s="182">
        <v>0</v>
      </c>
      <c r="F210" s="182">
        <v>1</v>
      </c>
      <c r="G210" s="183">
        <f>+C210*$C$218</f>
        <v>1.1596E-3</v>
      </c>
      <c r="H210" t="s">
        <v>204</v>
      </c>
    </row>
    <row r="211" spans="2:8" outlineLevel="1">
      <c r="B211" s="178" t="str">
        <f t="shared" si="15"/>
        <v>Honor Construcción</v>
      </c>
      <c r="C211" s="184">
        <f>+C186</f>
        <v>7.0000000000000007E-2</v>
      </c>
      <c r="D211" s="200" t="s">
        <v>195</v>
      </c>
      <c r="E211" s="182">
        <v>0.5</v>
      </c>
      <c r="F211" s="182">
        <v>0.5</v>
      </c>
      <c r="G211" s="183">
        <f>+C211*$C$218</f>
        <v>4.0586000000000004E-2</v>
      </c>
      <c r="H211" t="s">
        <v>204</v>
      </c>
    </row>
    <row r="212" spans="2:8" outlineLevel="1">
      <c r="B212" s="178" t="str">
        <f t="shared" si="15"/>
        <v>Honor Inmobiliario</v>
      </c>
      <c r="C212" s="15"/>
      <c r="D212" s="200"/>
      <c r="E212" s="14">
        <f>IFERROR(+(E213*C213+E214*C214+E215*C215)/(C213+C214+C215),50%)</f>
        <v>0.5</v>
      </c>
      <c r="F212" s="14">
        <f>+IFERROR((F213*C213+F214*C214+F215*C215)/(C213+C214+C215),50%)</f>
        <v>0.5</v>
      </c>
      <c r="G212" s="180"/>
    </row>
    <row r="213" spans="2:8" outlineLevel="2">
      <c r="B213" s="185" t="str">
        <f t="shared" si="15"/>
        <v>Honor. Estructuración</v>
      </c>
      <c r="C213" s="186">
        <v>0.01</v>
      </c>
      <c r="D213" s="200" t="s">
        <v>204</v>
      </c>
      <c r="E213" s="182">
        <v>0.5</v>
      </c>
      <c r="F213" s="182">
        <v>0.5</v>
      </c>
      <c r="G213" s="180"/>
    </row>
    <row r="214" spans="2:8" outlineLevel="2">
      <c r="B214" s="185" t="str">
        <f t="shared" si="15"/>
        <v>Honor Gerencia</v>
      </c>
      <c r="C214" s="186">
        <v>0.03</v>
      </c>
      <c r="D214" s="200" t="s">
        <v>204</v>
      </c>
      <c r="E214" s="182">
        <v>0.5</v>
      </c>
      <c r="F214" s="182">
        <v>0.5</v>
      </c>
      <c r="G214" s="180"/>
    </row>
    <row r="215" spans="2:8" outlineLevel="2">
      <c r="B215" s="185" t="str">
        <f t="shared" si="15"/>
        <v>Honor. Ventas</v>
      </c>
      <c r="C215" s="186">
        <v>0.03</v>
      </c>
      <c r="D215" s="200" t="s">
        <v>204</v>
      </c>
      <c r="E215" s="182">
        <v>0.5</v>
      </c>
      <c r="F215" s="182">
        <v>0.5</v>
      </c>
      <c r="G215" s="180"/>
    </row>
    <row r="216" spans="2:8" outlineLevel="1">
      <c r="B216" s="178" t="str">
        <f t="shared" si="15"/>
        <v>Util proyecto/Ventas</v>
      </c>
      <c r="C216" s="187">
        <f>+C191+0.005</f>
        <v>0.04</v>
      </c>
      <c r="D216" s="200" t="s">
        <v>204</v>
      </c>
      <c r="E216" s="182">
        <v>0.5</v>
      </c>
      <c r="F216" s="182">
        <v>0.5</v>
      </c>
      <c r="G216" s="180"/>
    </row>
    <row r="217" spans="2:8" outlineLevel="1">
      <c r="B217" s="178" t="str">
        <f t="shared" si="15"/>
        <v>Credito Constructor</v>
      </c>
      <c r="C217" s="14"/>
      <c r="D217" s="200"/>
      <c r="E217" s="182">
        <v>1</v>
      </c>
      <c r="F217" s="182">
        <v>0</v>
      </c>
      <c r="G217" s="180"/>
    </row>
    <row r="218" spans="2:8" outlineLevel="1">
      <c r="B218" s="178" t="str">
        <f t="shared" si="15"/>
        <v>Costo Dir. Const/Ventas</v>
      </c>
      <c r="C218" s="182">
        <f>+C193</f>
        <v>0.57979999999999998</v>
      </c>
      <c r="D218" s="200" t="s">
        <v>204</v>
      </c>
      <c r="E218" s="14"/>
      <c r="F218" s="14"/>
      <c r="G218" s="180"/>
    </row>
    <row r="219" spans="2:8" outlineLevel="1">
      <c r="B219" s="178"/>
      <c r="C219" s="188"/>
      <c r="D219" s="200"/>
      <c r="E219" s="14"/>
      <c r="F219" s="14"/>
      <c r="G219" s="180"/>
    </row>
    <row r="220" spans="2:8" outlineLevel="1">
      <c r="B220" s="178"/>
      <c r="C220" s="188" t="s">
        <v>214</v>
      </c>
      <c r="D220" s="200"/>
      <c r="E220" s="14" t="s">
        <v>96</v>
      </c>
      <c r="F220" s="14" t="s">
        <v>212</v>
      </c>
      <c r="G220" s="180" t="s">
        <v>213</v>
      </c>
    </row>
    <row r="221" spans="2:8" outlineLevel="1">
      <c r="B221" s="178" t="str">
        <f t="shared" si="15"/>
        <v>Ventas Proyecto AIA</v>
      </c>
      <c r="C221" s="189">
        <f>+C224+C225+C226+C227+C229</f>
        <v>0.50202930000000001</v>
      </c>
      <c r="D221" s="200"/>
      <c r="E221" s="190">
        <f>+E224+E225+E226+E227+E229</f>
        <v>0.49797070000000004</v>
      </c>
      <c r="F221" s="190">
        <f>+E221+C221</f>
        <v>1</v>
      </c>
      <c r="G221" s="191">
        <f>+F221-1</f>
        <v>0</v>
      </c>
    </row>
    <row r="222" spans="2:8" outlineLevel="1">
      <c r="B222" s="178" t="str">
        <f t="shared" si="15"/>
        <v>Margen total</v>
      </c>
      <c r="C222" s="189">
        <f>+C224+C225+C226+(C227-C228)+C231</f>
        <v>7.9351600000000008E-2</v>
      </c>
      <c r="D222" s="200"/>
      <c r="E222" s="189">
        <f>+E224+E225+E226+(E227-E228)+E231</f>
        <v>7.5293000000000013E-2</v>
      </c>
      <c r="F222" s="190">
        <f>+E222+C222</f>
        <v>0.15464460000000002</v>
      </c>
      <c r="G222" s="191">
        <f>+F222-G209-G210-G211-C216-C213-C214-C215</f>
        <v>0</v>
      </c>
    </row>
    <row r="223" spans="2:8" outlineLevel="1">
      <c r="B223" s="178"/>
      <c r="C223" s="188"/>
      <c r="D223" s="200"/>
      <c r="E223" s="188"/>
      <c r="F223" s="14"/>
      <c r="G223" s="180"/>
    </row>
    <row r="224" spans="2:8" outlineLevel="1">
      <c r="B224" s="178" t="str">
        <f t="shared" si="15"/>
        <v>Ventas Arquitectura</v>
      </c>
      <c r="C224" s="192">
        <f>IF(Arq="Si",0,+G209*F209)</f>
        <v>2.8990000000000001E-3</v>
      </c>
      <c r="D224" s="200" t="s">
        <v>204</v>
      </c>
      <c r="E224" s="193">
        <f>+E209*G209</f>
        <v>0</v>
      </c>
      <c r="F224" s="190">
        <f t="shared" ref="F224:F229" si="16">+E224+C224</f>
        <v>2.8990000000000001E-3</v>
      </c>
      <c r="G224" s="194">
        <f>+F224-G209</f>
        <v>0</v>
      </c>
    </row>
    <row r="225" spans="2:8" outlineLevel="1">
      <c r="B225" s="178" t="str">
        <f t="shared" si="15"/>
        <v>Ventas Preconstrucción</v>
      </c>
      <c r="C225" s="193">
        <f>+G210*F210</f>
        <v>1.1596E-3</v>
      </c>
      <c r="D225" s="200" t="s">
        <v>204</v>
      </c>
      <c r="E225" s="193">
        <f>+E210*G210</f>
        <v>0</v>
      </c>
      <c r="F225" s="190">
        <f t="shared" si="16"/>
        <v>1.1596E-3</v>
      </c>
      <c r="G225" s="194">
        <f>+F225-G210</f>
        <v>0</v>
      </c>
    </row>
    <row r="226" spans="2:8" outlineLevel="1">
      <c r="B226" s="178" t="str">
        <f t="shared" si="15"/>
        <v>Ingresos como inversionista</v>
      </c>
      <c r="C226" s="193">
        <f>+C216*F216</f>
        <v>0.02</v>
      </c>
      <c r="D226" s="200" t="s">
        <v>204</v>
      </c>
      <c r="E226" s="193">
        <f>+C216*E216</f>
        <v>0.02</v>
      </c>
      <c r="F226" s="190">
        <f t="shared" si="16"/>
        <v>0.04</v>
      </c>
      <c r="G226" s="194">
        <f>+F226-C216</f>
        <v>0</v>
      </c>
    </row>
    <row r="227" spans="2:8" outlineLevel="1">
      <c r="B227" s="178" t="str">
        <f t="shared" si="15"/>
        <v>Ventas Construcción</v>
      </c>
      <c r="C227" s="193">
        <f>+F211*(C218+G211)</f>
        <v>0.310193</v>
      </c>
      <c r="D227" s="200" t="s">
        <v>204</v>
      </c>
      <c r="E227" s="193">
        <f>+E211*(C218+G211)</f>
        <v>0.310193</v>
      </c>
      <c r="F227" s="190">
        <f t="shared" si="16"/>
        <v>0.62038599999999999</v>
      </c>
      <c r="G227" s="194">
        <f>+F227-C218-G211</f>
        <v>0</v>
      </c>
    </row>
    <row r="228" spans="2:8" outlineLevel="1">
      <c r="B228" s="178" t="str">
        <f t="shared" si="15"/>
        <v>Costo Construcción</v>
      </c>
      <c r="C228" s="193">
        <f>+C218*F211</f>
        <v>0.28989999999999999</v>
      </c>
      <c r="D228" s="200" t="s">
        <v>204</v>
      </c>
      <c r="E228" s="193">
        <f>+E211*C218</f>
        <v>0.28989999999999999</v>
      </c>
      <c r="F228" s="190">
        <f t="shared" si="16"/>
        <v>0.57979999999999998</v>
      </c>
      <c r="G228" s="194">
        <f>+F228-C218</f>
        <v>0</v>
      </c>
    </row>
    <row r="229" spans="2:8" outlineLevel="1">
      <c r="B229" s="178" t="str">
        <f t="shared" si="15"/>
        <v>Ventas Inmobiliarias</v>
      </c>
      <c r="C229" s="193">
        <f>+(1-(F224+F225+F226+F227))*F212</f>
        <v>0.16777770000000003</v>
      </c>
      <c r="D229" s="200" t="s">
        <v>204</v>
      </c>
      <c r="E229" s="193">
        <f>+(1-(F224+F225+F226+F227))*E212</f>
        <v>0.16777770000000003</v>
      </c>
      <c r="F229" s="190">
        <f t="shared" si="16"/>
        <v>0.33555540000000006</v>
      </c>
      <c r="G229" s="194"/>
    </row>
    <row r="230" spans="2:8" outlineLevel="1">
      <c r="B230" s="178" t="str">
        <f t="shared" si="15"/>
        <v>Costo Inmobiliario</v>
      </c>
      <c r="C230" s="190">
        <f>+C229-C231</f>
        <v>0.13277770000000003</v>
      </c>
      <c r="D230" s="200" t="s">
        <v>204</v>
      </c>
      <c r="E230" s="193">
        <f>+E229-E231</f>
        <v>0.13277770000000003</v>
      </c>
      <c r="F230" s="190">
        <f>+F229-F231</f>
        <v>0.26555540000000005</v>
      </c>
      <c r="G230" s="194"/>
    </row>
    <row r="231" spans="2:8" ht="17" outlineLevel="1" thickBot="1">
      <c r="B231" s="195" t="str">
        <f t="shared" si="15"/>
        <v>Utilidad Inmobiliaria</v>
      </c>
      <c r="C231" s="196">
        <f>+C213*F213+C214*F214+C215*F215</f>
        <v>3.5000000000000003E-2</v>
      </c>
      <c r="D231" s="201" t="s">
        <v>204</v>
      </c>
      <c r="E231" s="196">
        <f>+C213*E213+C214*E214+C215*E215</f>
        <v>3.5000000000000003E-2</v>
      </c>
      <c r="F231" s="197">
        <f>+E231+C231</f>
        <v>7.0000000000000007E-2</v>
      </c>
      <c r="G231" s="198">
        <f>+F231-C213-C214-C215</f>
        <v>0</v>
      </c>
    </row>
    <row r="232" spans="2:8" ht="17" thickTop="1">
      <c r="B232" s="175" t="s">
        <v>242</v>
      </c>
      <c r="C232" s="176"/>
      <c r="D232" s="199"/>
      <c r="E232" s="176" t="s">
        <v>234</v>
      </c>
      <c r="F232" s="176"/>
      <c r="G232" s="177"/>
    </row>
    <row r="233" spans="2:8" outlineLevel="1">
      <c r="B233" s="178" t="str">
        <f>+B208</f>
        <v>Nro apartamentos totales</v>
      </c>
      <c r="C233" s="179">
        <v>62</v>
      </c>
      <c r="D233" s="200"/>
      <c r="E233" s="14"/>
      <c r="F233" s="14"/>
      <c r="G233" s="180"/>
    </row>
    <row r="234" spans="2:8" outlineLevel="1">
      <c r="B234" s="178" t="str">
        <f t="shared" ref="B234:B256" si="17">+B209</f>
        <v>Honor Arquitectura</v>
      </c>
      <c r="C234" s="181">
        <f>+C209</f>
        <v>5.0000000000000001E-3</v>
      </c>
      <c r="D234" s="200" t="s">
        <v>195</v>
      </c>
      <c r="E234" s="182">
        <v>0</v>
      </c>
      <c r="F234" s="182">
        <v>1</v>
      </c>
      <c r="G234" s="183">
        <f>+C234*C243</f>
        <v>2.8990000000000001E-3</v>
      </c>
      <c r="H234" t="s">
        <v>204</v>
      </c>
    </row>
    <row r="235" spans="2:8" outlineLevel="1">
      <c r="B235" s="178" t="str">
        <f t="shared" si="17"/>
        <v>Honor Preconstrucción</v>
      </c>
      <c r="C235" s="181">
        <f>+C210</f>
        <v>2E-3</v>
      </c>
      <c r="D235" s="200" t="s">
        <v>195</v>
      </c>
      <c r="E235" s="182">
        <v>0</v>
      </c>
      <c r="F235" s="182">
        <v>1</v>
      </c>
      <c r="G235" s="183">
        <f>+C235*$C$193</f>
        <v>1.1596E-3</v>
      </c>
      <c r="H235" t="s">
        <v>204</v>
      </c>
    </row>
    <row r="236" spans="2:8" outlineLevel="1">
      <c r="B236" s="178" t="str">
        <f t="shared" si="17"/>
        <v>Honor Construcción</v>
      </c>
      <c r="C236" s="184">
        <f>+C211</f>
        <v>7.0000000000000007E-2</v>
      </c>
      <c r="D236" s="200" t="s">
        <v>195</v>
      </c>
      <c r="E236" s="182">
        <v>0.5</v>
      </c>
      <c r="F236" s="182">
        <v>0.5</v>
      </c>
      <c r="G236" s="183">
        <f>+C236*$C$193</f>
        <v>4.0586000000000004E-2</v>
      </c>
      <c r="H236" t="s">
        <v>204</v>
      </c>
    </row>
    <row r="237" spans="2:8" outlineLevel="1">
      <c r="B237" s="178" t="str">
        <f t="shared" si="17"/>
        <v>Honor Inmobiliario</v>
      </c>
      <c r="C237" s="15"/>
      <c r="D237" s="200"/>
      <c r="E237" s="14">
        <f>IFERROR(+(E238*C238+E239*C239+E240*C240)/(C238+C239+C240),50%)</f>
        <v>0.5</v>
      </c>
      <c r="F237" s="14">
        <f>+IFERROR((F238*C238+F239*C239+F240*C240)/(C238+C239+C240),50%)</f>
        <v>0.5</v>
      </c>
      <c r="G237" s="180"/>
    </row>
    <row r="238" spans="2:8" outlineLevel="2">
      <c r="B238" s="185" t="str">
        <f t="shared" si="17"/>
        <v>Honor. Estructuración</v>
      </c>
      <c r="C238" s="186">
        <f>+C213</f>
        <v>0.01</v>
      </c>
      <c r="D238" s="200" t="s">
        <v>204</v>
      </c>
      <c r="E238" s="182">
        <v>0.5</v>
      </c>
      <c r="F238" s="182">
        <v>0.5</v>
      </c>
      <c r="G238" s="180"/>
    </row>
    <row r="239" spans="2:8" outlineLevel="2">
      <c r="B239" s="185" t="str">
        <f t="shared" si="17"/>
        <v>Honor Gerencia</v>
      </c>
      <c r="C239" s="186">
        <f>+C214</f>
        <v>0.03</v>
      </c>
      <c r="D239" s="200" t="s">
        <v>204</v>
      </c>
      <c r="E239" s="182">
        <v>0.5</v>
      </c>
      <c r="F239" s="182">
        <v>0.5</v>
      </c>
      <c r="G239" s="180"/>
    </row>
    <row r="240" spans="2:8" outlineLevel="2">
      <c r="B240" s="185" t="str">
        <f t="shared" si="17"/>
        <v>Honor. Ventas</v>
      </c>
      <c r="C240" s="186">
        <f>+C215</f>
        <v>0.03</v>
      </c>
      <c r="D240" s="200" t="s">
        <v>204</v>
      </c>
      <c r="E240" s="182">
        <v>0.5</v>
      </c>
      <c r="F240" s="182">
        <v>0.5</v>
      </c>
      <c r="G240" s="180"/>
    </row>
    <row r="241" spans="2:7" outlineLevel="1">
      <c r="B241" s="178" t="str">
        <f t="shared" si="17"/>
        <v>Util proyecto/Ventas</v>
      </c>
      <c r="C241" s="187">
        <f>+C216+0.005</f>
        <v>4.4999999999999998E-2</v>
      </c>
      <c r="D241" s="200" t="s">
        <v>204</v>
      </c>
      <c r="E241" s="182">
        <v>0.5</v>
      </c>
      <c r="F241" s="182">
        <v>0.5</v>
      </c>
      <c r="G241" s="180"/>
    </row>
    <row r="242" spans="2:7" outlineLevel="1">
      <c r="B242" s="178" t="str">
        <f t="shared" si="17"/>
        <v>Credito Constructor</v>
      </c>
      <c r="C242" s="14"/>
      <c r="D242" s="200"/>
      <c r="E242" s="182">
        <v>1</v>
      </c>
      <c r="F242" s="182">
        <v>0</v>
      </c>
      <c r="G242" s="180"/>
    </row>
    <row r="243" spans="2:7" outlineLevel="1">
      <c r="B243" s="178" t="str">
        <f t="shared" si="17"/>
        <v>Costo Dir. Const/Ventas</v>
      </c>
      <c r="C243" s="182">
        <v>0.57979999999999998</v>
      </c>
      <c r="D243" s="200" t="s">
        <v>204</v>
      </c>
      <c r="E243" s="14"/>
      <c r="F243" s="14"/>
      <c r="G243" s="180"/>
    </row>
    <row r="244" spans="2:7" outlineLevel="1">
      <c r="B244" s="178"/>
      <c r="C244" s="188"/>
      <c r="D244" s="200"/>
      <c r="E244" s="14"/>
      <c r="F244" s="14"/>
      <c r="G244" s="180"/>
    </row>
    <row r="245" spans="2:7" outlineLevel="1">
      <c r="B245" s="178"/>
      <c r="C245" s="188" t="s">
        <v>214</v>
      </c>
      <c r="D245" s="200"/>
      <c r="E245" s="14" t="s">
        <v>96</v>
      </c>
      <c r="F245" s="14" t="s">
        <v>212</v>
      </c>
      <c r="G245" s="180" t="s">
        <v>213</v>
      </c>
    </row>
    <row r="246" spans="2:7" outlineLevel="1">
      <c r="B246" s="178" t="str">
        <f t="shared" si="17"/>
        <v>Ventas Proyecto AIA</v>
      </c>
      <c r="C246" s="189">
        <f>+C249+C250+C251+C252+C254</f>
        <v>0.50202930000000001</v>
      </c>
      <c r="D246" s="200"/>
      <c r="E246" s="190">
        <f>+E249+E250+E251+E252+E254</f>
        <v>0.49797070000000004</v>
      </c>
      <c r="F246" s="190">
        <f>+E246+C246</f>
        <v>1</v>
      </c>
      <c r="G246" s="191">
        <f>+F246-1</f>
        <v>0</v>
      </c>
    </row>
    <row r="247" spans="2:7" outlineLevel="1">
      <c r="B247" s="178" t="str">
        <f t="shared" si="17"/>
        <v>Margen total</v>
      </c>
      <c r="C247" s="189">
        <f>+C249+C250+C251+(C252-C253)+C256</f>
        <v>8.185160000000001E-2</v>
      </c>
      <c r="D247" s="200"/>
      <c r="E247" s="189">
        <f>+E249+E250+E251+(E252-E253)+E256</f>
        <v>7.7793000000000001E-2</v>
      </c>
      <c r="F247" s="190">
        <f>+E247+C247</f>
        <v>0.15964460000000003</v>
      </c>
      <c r="G247" s="191">
        <f>+F247-G234-G235-G236-C241-C238-C239-C240</f>
        <v>0</v>
      </c>
    </row>
    <row r="248" spans="2:7" outlineLevel="1">
      <c r="B248" s="178"/>
      <c r="C248" s="188"/>
      <c r="D248" s="200"/>
      <c r="E248" s="188"/>
      <c r="F248" s="14"/>
      <c r="G248" s="180"/>
    </row>
    <row r="249" spans="2:7" outlineLevel="1">
      <c r="B249" s="178" t="str">
        <f t="shared" si="17"/>
        <v>Ventas Arquitectura</v>
      </c>
      <c r="C249" s="192">
        <f>IF(Arq="Si",0,+G234*F234)</f>
        <v>2.8990000000000001E-3</v>
      </c>
      <c r="D249" s="200" t="s">
        <v>204</v>
      </c>
      <c r="E249" s="193">
        <f>+E234*G234</f>
        <v>0</v>
      </c>
      <c r="F249" s="190">
        <f t="shared" ref="F249:F254" si="18">+E249+C249</f>
        <v>2.8990000000000001E-3</v>
      </c>
      <c r="G249" s="194">
        <f>+F249-G234</f>
        <v>0</v>
      </c>
    </row>
    <row r="250" spans="2:7" outlineLevel="1">
      <c r="B250" s="178" t="str">
        <f t="shared" si="17"/>
        <v>Ventas Preconstrucción</v>
      </c>
      <c r="C250" s="193">
        <f>+G235*F235</f>
        <v>1.1596E-3</v>
      </c>
      <c r="D250" s="200" t="s">
        <v>204</v>
      </c>
      <c r="E250" s="193">
        <f>+E235*G235</f>
        <v>0</v>
      </c>
      <c r="F250" s="190">
        <f t="shared" si="18"/>
        <v>1.1596E-3</v>
      </c>
      <c r="G250" s="194">
        <f>+F250-G235</f>
        <v>0</v>
      </c>
    </row>
    <row r="251" spans="2:7" outlineLevel="1">
      <c r="B251" s="178" t="str">
        <f t="shared" si="17"/>
        <v>Ingresos como inversionista</v>
      </c>
      <c r="C251" s="193">
        <f>+C241*F241</f>
        <v>2.2499999999999999E-2</v>
      </c>
      <c r="D251" s="200" t="s">
        <v>204</v>
      </c>
      <c r="E251" s="193">
        <f>+C241*E241</f>
        <v>2.2499999999999999E-2</v>
      </c>
      <c r="F251" s="190">
        <f t="shared" si="18"/>
        <v>4.4999999999999998E-2</v>
      </c>
      <c r="G251" s="194">
        <f>+F251-C241</f>
        <v>0</v>
      </c>
    </row>
    <row r="252" spans="2:7" outlineLevel="1">
      <c r="B252" s="178" t="str">
        <f t="shared" si="17"/>
        <v>Ventas Construcción</v>
      </c>
      <c r="C252" s="193">
        <f>+F236*(C243+G236)</f>
        <v>0.310193</v>
      </c>
      <c r="D252" s="200" t="s">
        <v>204</v>
      </c>
      <c r="E252" s="193">
        <f>+E236*(C243+G236)</f>
        <v>0.310193</v>
      </c>
      <c r="F252" s="190">
        <f t="shared" si="18"/>
        <v>0.62038599999999999</v>
      </c>
      <c r="G252" s="194">
        <f>+F252-C243-G236</f>
        <v>0</v>
      </c>
    </row>
    <row r="253" spans="2:7" outlineLevel="1">
      <c r="B253" s="178" t="str">
        <f t="shared" si="17"/>
        <v>Costo Construcción</v>
      </c>
      <c r="C253" s="193">
        <f>+C243*F236</f>
        <v>0.28989999999999999</v>
      </c>
      <c r="D253" s="200" t="s">
        <v>204</v>
      </c>
      <c r="E253" s="193">
        <f>+E236*C243</f>
        <v>0.28989999999999999</v>
      </c>
      <c r="F253" s="190">
        <f t="shared" si="18"/>
        <v>0.57979999999999998</v>
      </c>
      <c r="G253" s="194">
        <f>+F253-C243</f>
        <v>0</v>
      </c>
    </row>
    <row r="254" spans="2:7" outlineLevel="1">
      <c r="B254" s="178" t="str">
        <f t="shared" si="17"/>
        <v>Ventas Inmobiliarias</v>
      </c>
      <c r="C254" s="193">
        <f>+(1-(F249+F250+F251+F252))*F237</f>
        <v>0.16527770000000003</v>
      </c>
      <c r="D254" s="200" t="s">
        <v>204</v>
      </c>
      <c r="E254" s="193">
        <f>+(1-(F249+F250+F251+F252))*E237</f>
        <v>0.16527770000000003</v>
      </c>
      <c r="F254" s="190">
        <f t="shared" si="18"/>
        <v>0.33055540000000005</v>
      </c>
      <c r="G254" s="194"/>
    </row>
    <row r="255" spans="2:7" outlineLevel="1">
      <c r="B255" s="178" t="str">
        <f t="shared" si="17"/>
        <v>Costo Inmobiliario</v>
      </c>
      <c r="C255" s="190">
        <f>+C254-C256</f>
        <v>0.13027770000000002</v>
      </c>
      <c r="D255" s="200" t="s">
        <v>204</v>
      </c>
      <c r="E255" s="193">
        <f>+E254-E256</f>
        <v>0.13027770000000002</v>
      </c>
      <c r="F255" s="190">
        <f>+F254-F256</f>
        <v>0.26055540000000005</v>
      </c>
      <c r="G255" s="194"/>
    </row>
    <row r="256" spans="2:7" ht="17" outlineLevel="1" thickBot="1">
      <c r="B256" s="195" t="str">
        <f t="shared" si="17"/>
        <v>Utilidad Inmobiliaria</v>
      </c>
      <c r="C256" s="196">
        <f>+C238*F238+C239*F239+C240*F240</f>
        <v>3.5000000000000003E-2</v>
      </c>
      <c r="D256" s="201" t="s">
        <v>204</v>
      </c>
      <c r="E256" s="196">
        <f>+C238*E238+C239*E239+C240*E240</f>
        <v>3.5000000000000003E-2</v>
      </c>
      <c r="F256" s="197">
        <f>+E256+C256</f>
        <v>7.0000000000000007E-2</v>
      </c>
      <c r="G256" s="198">
        <f>+F256-C238-C239-C240</f>
        <v>0</v>
      </c>
    </row>
    <row r="257" spans="2:8" ht="17" thickTop="1">
      <c r="B257" s="175" t="s">
        <v>243</v>
      </c>
      <c r="C257" s="176"/>
      <c r="D257" s="199"/>
      <c r="E257" s="176" t="s">
        <v>234</v>
      </c>
      <c r="F257" s="176"/>
      <c r="G257" s="177"/>
    </row>
    <row r="258" spans="2:8" outlineLevel="1">
      <c r="B258" s="178" t="str">
        <f>+B233</f>
        <v>Nro apartamentos totales</v>
      </c>
      <c r="C258" s="179">
        <f>+C233</f>
        <v>62</v>
      </c>
      <c r="D258" s="200"/>
      <c r="E258" s="14"/>
      <c r="F258" s="14"/>
      <c r="G258" s="180"/>
    </row>
    <row r="259" spans="2:8" outlineLevel="1">
      <c r="B259" s="178" t="str">
        <f t="shared" ref="B259:B281" si="19">+B234</f>
        <v>Honor Arquitectura</v>
      </c>
      <c r="C259" s="181">
        <f>+C234</f>
        <v>5.0000000000000001E-3</v>
      </c>
      <c r="D259" s="200" t="s">
        <v>195</v>
      </c>
      <c r="E259" s="182">
        <v>0</v>
      </c>
      <c r="F259" s="182">
        <v>1</v>
      </c>
      <c r="G259" s="183">
        <f>+C259*C268</f>
        <v>2.8990000000000001E-3</v>
      </c>
      <c r="H259" t="s">
        <v>204</v>
      </c>
    </row>
    <row r="260" spans="2:8" outlineLevel="1">
      <c r="B260" s="178" t="str">
        <f t="shared" si="19"/>
        <v>Honor Preconstrucción</v>
      </c>
      <c r="C260" s="181">
        <f t="shared" ref="C260:C265" si="20">+C235</f>
        <v>2E-3</v>
      </c>
      <c r="D260" s="200" t="s">
        <v>195</v>
      </c>
      <c r="E260" s="182">
        <v>0</v>
      </c>
      <c r="F260" s="182">
        <v>1</v>
      </c>
      <c r="G260" s="183">
        <f>+C260*$C$218</f>
        <v>1.1596E-3</v>
      </c>
      <c r="H260" t="s">
        <v>204</v>
      </c>
    </row>
    <row r="261" spans="2:8" outlineLevel="1">
      <c r="B261" s="178" t="str">
        <f t="shared" si="19"/>
        <v>Honor Construcción</v>
      </c>
      <c r="C261" s="184">
        <f t="shared" si="20"/>
        <v>7.0000000000000007E-2</v>
      </c>
      <c r="D261" s="200" t="s">
        <v>195</v>
      </c>
      <c r="E261" s="182">
        <v>0.5</v>
      </c>
      <c r="F261" s="182">
        <v>0.5</v>
      </c>
      <c r="G261" s="183">
        <f>+C261*$C$218</f>
        <v>4.0586000000000004E-2</v>
      </c>
      <c r="H261" t="s">
        <v>204</v>
      </c>
    </row>
    <row r="262" spans="2:8" outlineLevel="1">
      <c r="B262" s="178" t="str">
        <f t="shared" si="19"/>
        <v>Honor Inmobiliario</v>
      </c>
      <c r="C262" s="15"/>
      <c r="D262" s="200"/>
      <c r="E262" s="14">
        <f>IFERROR(+(E263*C263+E264*C264+E265*C265)/(C263+C264+C265),50%)</f>
        <v>0.5</v>
      </c>
      <c r="F262" s="14">
        <f>+IFERROR((F263*C263+F264*C264+F265*C265)/(C263+C264+C265),50%)</f>
        <v>0.5</v>
      </c>
      <c r="G262" s="180"/>
    </row>
    <row r="263" spans="2:8" outlineLevel="2">
      <c r="B263" s="185" t="str">
        <f t="shared" si="19"/>
        <v>Honor. Estructuración</v>
      </c>
      <c r="C263" s="186">
        <f t="shared" si="20"/>
        <v>0.01</v>
      </c>
      <c r="D263" s="200" t="s">
        <v>204</v>
      </c>
      <c r="E263" s="182">
        <v>0.5</v>
      </c>
      <c r="F263" s="182">
        <v>0.5</v>
      </c>
      <c r="G263" s="180"/>
    </row>
    <row r="264" spans="2:8" outlineLevel="2">
      <c r="B264" s="185" t="str">
        <f t="shared" si="19"/>
        <v>Honor Gerencia</v>
      </c>
      <c r="C264" s="186">
        <f t="shared" si="20"/>
        <v>0.03</v>
      </c>
      <c r="D264" s="200" t="s">
        <v>204</v>
      </c>
      <c r="E264" s="182">
        <v>0.5</v>
      </c>
      <c r="F264" s="182">
        <v>0.5</v>
      </c>
      <c r="G264" s="180"/>
    </row>
    <row r="265" spans="2:8" outlineLevel="2">
      <c r="B265" s="185" t="str">
        <f t="shared" si="19"/>
        <v>Honor. Ventas</v>
      </c>
      <c r="C265" s="186">
        <f t="shared" si="20"/>
        <v>0.03</v>
      </c>
      <c r="D265" s="200" t="s">
        <v>204</v>
      </c>
      <c r="E265" s="182">
        <v>0.5</v>
      </c>
      <c r="F265" s="182">
        <v>0.5</v>
      </c>
      <c r="G265" s="180"/>
    </row>
    <row r="266" spans="2:8" outlineLevel="1">
      <c r="B266" s="178" t="str">
        <f t="shared" si="19"/>
        <v>Util proyecto/Ventas</v>
      </c>
      <c r="C266" s="187">
        <f>+C241+0.005</f>
        <v>4.9999999999999996E-2</v>
      </c>
      <c r="D266" s="200" t="s">
        <v>204</v>
      </c>
      <c r="E266" s="182">
        <v>0.5</v>
      </c>
      <c r="F266" s="182">
        <v>0.5</v>
      </c>
      <c r="G266" s="180"/>
    </row>
    <row r="267" spans="2:8" outlineLevel="1">
      <c r="B267" s="178" t="str">
        <f t="shared" si="19"/>
        <v>Credito Constructor</v>
      </c>
      <c r="C267" s="14"/>
      <c r="D267" s="200"/>
      <c r="E267" s="182">
        <v>1</v>
      </c>
      <c r="F267" s="182">
        <v>0</v>
      </c>
      <c r="G267" s="180"/>
    </row>
    <row r="268" spans="2:8" outlineLevel="1">
      <c r="B268" s="178" t="str">
        <f t="shared" si="19"/>
        <v>Costo Dir. Const/Ventas</v>
      </c>
      <c r="C268" s="182">
        <f>+C243</f>
        <v>0.57979999999999998</v>
      </c>
      <c r="D268" s="200" t="s">
        <v>204</v>
      </c>
      <c r="E268" s="14"/>
      <c r="F268" s="14"/>
      <c r="G268" s="180"/>
    </row>
    <row r="269" spans="2:8" outlineLevel="1">
      <c r="B269" s="178"/>
      <c r="C269" s="188"/>
      <c r="D269" s="200"/>
      <c r="E269" s="14"/>
      <c r="F269" s="14"/>
      <c r="G269" s="180"/>
    </row>
    <row r="270" spans="2:8" outlineLevel="1">
      <c r="B270" s="178"/>
      <c r="C270" s="188" t="s">
        <v>214</v>
      </c>
      <c r="D270" s="200"/>
      <c r="E270" s="14" t="s">
        <v>96</v>
      </c>
      <c r="F270" s="14" t="s">
        <v>212</v>
      </c>
      <c r="G270" s="180" t="s">
        <v>213</v>
      </c>
    </row>
    <row r="271" spans="2:8" outlineLevel="1">
      <c r="B271" s="178" t="str">
        <f t="shared" si="19"/>
        <v>Ventas Proyecto AIA</v>
      </c>
      <c r="C271" s="189">
        <f>+C274+C275+C276+C277+C279</f>
        <v>0.50202930000000001</v>
      </c>
      <c r="D271" s="200"/>
      <c r="E271" s="190">
        <f>+E274+E275+E276+E277+E279</f>
        <v>0.49797070000000004</v>
      </c>
      <c r="F271" s="190">
        <f>+E271+C271</f>
        <v>1</v>
      </c>
      <c r="G271" s="191">
        <f>+F271-1</f>
        <v>0</v>
      </c>
    </row>
    <row r="272" spans="2:8" outlineLevel="1">
      <c r="B272" s="178" t="str">
        <f t="shared" si="19"/>
        <v>Margen total</v>
      </c>
      <c r="C272" s="189">
        <f>+C274+C275+C276+(C277-C278)+C281</f>
        <v>8.4351599999999999E-2</v>
      </c>
      <c r="D272" s="200"/>
      <c r="E272" s="189">
        <f>+E274+E275+E276+(E277-E278)+E281</f>
        <v>8.0293000000000003E-2</v>
      </c>
      <c r="F272" s="190">
        <f>+E272+C272</f>
        <v>0.1646446</v>
      </c>
      <c r="G272" s="191">
        <f>+F272-G259-G260-G261-C266-C263-C264-C265</f>
        <v>0</v>
      </c>
    </row>
    <row r="273" spans="2:8" outlineLevel="1">
      <c r="B273" s="178"/>
      <c r="C273" s="188"/>
      <c r="D273" s="200"/>
      <c r="E273" s="188"/>
      <c r="F273" s="14"/>
      <c r="G273" s="180"/>
    </row>
    <row r="274" spans="2:8" outlineLevel="1">
      <c r="B274" s="178" t="str">
        <f t="shared" si="19"/>
        <v>Ventas Arquitectura</v>
      </c>
      <c r="C274" s="192">
        <f>IF(Arq="Si",0,+G259*F259)</f>
        <v>2.8990000000000001E-3</v>
      </c>
      <c r="D274" s="200" t="s">
        <v>204</v>
      </c>
      <c r="E274" s="193">
        <f>+E259*G259</f>
        <v>0</v>
      </c>
      <c r="F274" s="190">
        <f t="shared" ref="F274:F279" si="21">+E274+C274</f>
        <v>2.8990000000000001E-3</v>
      </c>
      <c r="G274" s="194">
        <f>+F274-G259</f>
        <v>0</v>
      </c>
    </row>
    <row r="275" spans="2:8" outlineLevel="1">
      <c r="B275" s="178" t="str">
        <f t="shared" si="19"/>
        <v>Ventas Preconstrucción</v>
      </c>
      <c r="C275" s="193">
        <f>+G260*F260</f>
        <v>1.1596E-3</v>
      </c>
      <c r="D275" s="200" t="s">
        <v>204</v>
      </c>
      <c r="E275" s="193">
        <f>+E260*G260</f>
        <v>0</v>
      </c>
      <c r="F275" s="190">
        <f t="shared" si="21"/>
        <v>1.1596E-3</v>
      </c>
      <c r="G275" s="194">
        <f>+F275-G260</f>
        <v>0</v>
      </c>
    </row>
    <row r="276" spans="2:8" outlineLevel="1">
      <c r="B276" s="178" t="str">
        <f t="shared" si="19"/>
        <v>Ingresos como inversionista</v>
      </c>
      <c r="C276" s="193">
        <f>+C266*F266</f>
        <v>2.4999999999999998E-2</v>
      </c>
      <c r="D276" s="200" t="s">
        <v>204</v>
      </c>
      <c r="E276" s="193">
        <f>+C266*E266</f>
        <v>2.4999999999999998E-2</v>
      </c>
      <c r="F276" s="190">
        <f t="shared" si="21"/>
        <v>4.9999999999999996E-2</v>
      </c>
      <c r="G276" s="194">
        <f>+F276-C266</f>
        <v>0</v>
      </c>
    </row>
    <row r="277" spans="2:8" outlineLevel="1">
      <c r="B277" s="178" t="str">
        <f t="shared" si="19"/>
        <v>Ventas Construcción</v>
      </c>
      <c r="C277" s="193">
        <f>+F261*(C268+G261)</f>
        <v>0.310193</v>
      </c>
      <c r="D277" s="200" t="s">
        <v>204</v>
      </c>
      <c r="E277" s="193">
        <f>+E261*(C268+G261)</f>
        <v>0.310193</v>
      </c>
      <c r="F277" s="190">
        <f t="shared" si="21"/>
        <v>0.62038599999999999</v>
      </c>
      <c r="G277" s="194">
        <f>+F277-C268-G261</f>
        <v>0</v>
      </c>
    </row>
    <row r="278" spans="2:8" outlineLevel="1">
      <c r="B278" s="178" t="str">
        <f t="shared" si="19"/>
        <v>Costo Construcción</v>
      </c>
      <c r="C278" s="193">
        <f>+C268*F261</f>
        <v>0.28989999999999999</v>
      </c>
      <c r="D278" s="200" t="s">
        <v>204</v>
      </c>
      <c r="E278" s="193">
        <f>+E261*C268</f>
        <v>0.28989999999999999</v>
      </c>
      <c r="F278" s="190">
        <f t="shared" si="21"/>
        <v>0.57979999999999998</v>
      </c>
      <c r="G278" s="194">
        <f>+F278-C268</f>
        <v>0</v>
      </c>
    </row>
    <row r="279" spans="2:8" outlineLevel="1">
      <c r="B279" s="178" t="str">
        <f t="shared" si="19"/>
        <v>Ventas Inmobiliarias</v>
      </c>
      <c r="C279" s="193">
        <f>+(1-(F274+F275+F276+F277))*F262</f>
        <v>0.16277770000000003</v>
      </c>
      <c r="D279" s="200" t="s">
        <v>204</v>
      </c>
      <c r="E279" s="193">
        <f>+(1-(F274+F275+F276+F277))*E262</f>
        <v>0.16277770000000003</v>
      </c>
      <c r="F279" s="190">
        <f t="shared" si="21"/>
        <v>0.32555540000000005</v>
      </c>
      <c r="G279" s="194"/>
    </row>
    <row r="280" spans="2:8" outlineLevel="1">
      <c r="B280" s="178" t="str">
        <f t="shared" si="19"/>
        <v>Costo Inmobiliario</v>
      </c>
      <c r="C280" s="190">
        <f>+C279-C281</f>
        <v>0.12777770000000002</v>
      </c>
      <c r="D280" s="200" t="s">
        <v>204</v>
      </c>
      <c r="E280" s="193">
        <f>+E279-E281</f>
        <v>0.12777770000000002</v>
      </c>
      <c r="F280" s="190">
        <f>+F279-F281</f>
        <v>0.25555540000000004</v>
      </c>
      <c r="G280" s="194"/>
    </row>
    <row r="281" spans="2:8" ht="17" outlineLevel="1" thickBot="1">
      <c r="B281" s="195" t="str">
        <f t="shared" si="19"/>
        <v>Utilidad Inmobiliaria</v>
      </c>
      <c r="C281" s="196">
        <f>+C263*F263+C264*F264+C265*F265</f>
        <v>3.5000000000000003E-2</v>
      </c>
      <c r="D281" s="201" t="s">
        <v>204</v>
      </c>
      <c r="E281" s="196">
        <f>+C263*E263+C264*E264+C265*E265</f>
        <v>3.5000000000000003E-2</v>
      </c>
      <c r="F281" s="197">
        <f>+E281+C281</f>
        <v>7.0000000000000007E-2</v>
      </c>
      <c r="G281" s="198">
        <f>+F281-C263-C264-C265</f>
        <v>0</v>
      </c>
    </row>
    <row r="282" spans="2:8" ht="17" thickTop="1">
      <c r="B282" s="175" t="s">
        <v>229</v>
      </c>
      <c r="C282" s="176"/>
      <c r="D282" s="199"/>
      <c r="E282" s="176" t="s">
        <v>235</v>
      </c>
      <c r="F282" s="176"/>
      <c r="G282" s="177"/>
    </row>
    <row r="283" spans="2:8" outlineLevel="1">
      <c r="B283" s="178" t="str">
        <f>+B258</f>
        <v>Nro apartamentos totales</v>
      </c>
      <c r="C283" s="179"/>
      <c r="D283" s="200"/>
      <c r="E283" s="14"/>
      <c r="F283" s="14"/>
      <c r="G283" s="180"/>
    </row>
    <row r="284" spans="2:8" outlineLevel="1">
      <c r="B284" s="178" t="str">
        <f t="shared" ref="B284:B306" si="22">+B259</f>
        <v>Honor Arquitectura</v>
      </c>
      <c r="C284" s="181"/>
      <c r="D284" s="200" t="s">
        <v>195</v>
      </c>
      <c r="E284" s="182"/>
      <c r="F284" s="182"/>
      <c r="G284" s="183">
        <f>+C284*C293</f>
        <v>0</v>
      </c>
      <c r="H284" t="s">
        <v>204</v>
      </c>
    </row>
    <row r="285" spans="2:8" outlineLevel="1">
      <c r="B285" s="178" t="str">
        <f t="shared" si="22"/>
        <v>Honor Preconstrucción</v>
      </c>
      <c r="C285" s="181"/>
      <c r="D285" s="200" t="s">
        <v>195</v>
      </c>
      <c r="E285" s="182"/>
      <c r="F285" s="182"/>
      <c r="G285" s="183">
        <f>+C285*$C$293</f>
        <v>0</v>
      </c>
      <c r="H285" t="s">
        <v>204</v>
      </c>
    </row>
    <row r="286" spans="2:8" outlineLevel="1">
      <c r="B286" s="178" t="str">
        <f t="shared" si="22"/>
        <v>Honor Construcción</v>
      </c>
      <c r="C286" s="184"/>
      <c r="D286" s="200" t="s">
        <v>195</v>
      </c>
      <c r="E286" s="182"/>
      <c r="F286" s="182"/>
      <c r="G286" s="183">
        <f>+C286*$C$293</f>
        <v>0</v>
      </c>
      <c r="H286" t="s">
        <v>204</v>
      </c>
    </row>
    <row r="287" spans="2:8" outlineLevel="1">
      <c r="B287" s="178" t="str">
        <f t="shared" si="22"/>
        <v>Honor Inmobiliario</v>
      </c>
      <c r="C287" s="15"/>
      <c r="D287" s="200"/>
      <c r="E287" s="14">
        <f>IFERROR(+(E288*C288+E289*C289+E290*C290)/(C288+C289+C290),50%)</f>
        <v>0.5</v>
      </c>
      <c r="F287" s="14">
        <f>+IFERROR((F288*C288+F289*C289+F290*C290)/(C288+C289+C290),50%)</f>
        <v>0.5</v>
      </c>
      <c r="G287" s="180"/>
    </row>
    <row r="288" spans="2:8" outlineLevel="2">
      <c r="B288" s="185" t="str">
        <f t="shared" si="22"/>
        <v>Honor. Estructuración</v>
      </c>
      <c r="C288" s="186"/>
      <c r="D288" s="200" t="s">
        <v>204</v>
      </c>
      <c r="E288" s="182"/>
      <c r="F288" s="182"/>
      <c r="G288" s="180"/>
    </row>
    <row r="289" spans="2:7" outlineLevel="2">
      <c r="B289" s="185" t="str">
        <f t="shared" si="22"/>
        <v>Honor Gerencia</v>
      </c>
      <c r="C289" s="186"/>
      <c r="D289" s="200" t="s">
        <v>204</v>
      </c>
      <c r="E289" s="182"/>
      <c r="F289" s="182"/>
      <c r="G289" s="180"/>
    </row>
    <row r="290" spans="2:7" outlineLevel="2">
      <c r="B290" s="185" t="str">
        <f t="shared" si="22"/>
        <v>Honor. Ventas</v>
      </c>
      <c r="C290" s="186"/>
      <c r="D290" s="200" t="s">
        <v>204</v>
      </c>
      <c r="E290" s="182"/>
      <c r="F290" s="182"/>
      <c r="G290" s="180"/>
    </row>
    <row r="291" spans="2:7" outlineLevel="1">
      <c r="B291" s="178" t="str">
        <f t="shared" si="22"/>
        <v>Util proyecto/Ventas</v>
      </c>
      <c r="C291" s="187"/>
      <c r="D291" s="200" t="s">
        <v>204</v>
      </c>
      <c r="E291" s="182"/>
      <c r="F291" s="182"/>
      <c r="G291" s="180"/>
    </row>
    <row r="292" spans="2:7" outlineLevel="1">
      <c r="B292" s="178" t="str">
        <f t="shared" si="22"/>
        <v>Credito Constructor</v>
      </c>
      <c r="C292" s="14"/>
      <c r="D292" s="200"/>
      <c r="E292" s="182"/>
      <c r="F292" s="182"/>
      <c r="G292" s="180"/>
    </row>
    <row r="293" spans="2:7" outlineLevel="1">
      <c r="B293" s="178" t="str">
        <f t="shared" si="22"/>
        <v>Costo Dir. Const/Ventas</v>
      </c>
      <c r="C293" s="182"/>
      <c r="D293" s="200" t="s">
        <v>204</v>
      </c>
      <c r="E293" s="14"/>
      <c r="F293" s="14"/>
      <c r="G293" s="180"/>
    </row>
    <row r="294" spans="2:7" outlineLevel="1">
      <c r="B294" s="178"/>
      <c r="C294" s="188"/>
      <c r="D294" s="200"/>
      <c r="E294" s="14"/>
      <c r="F294" s="14"/>
      <c r="G294" s="180"/>
    </row>
    <row r="295" spans="2:7" outlineLevel="1">
      <c r="B295" s="178"/>
      <c r="C295" s="188" t="s">
        <v>214</v>
      </c>
      <c r="D295" s="200"/>
      <c r="E295" s="14" t="s">
        <v>96</v>
      </c>
      <c r="F295" s="14" t="s">
        <v>212</v>
      </c>
      <c r="G295" s="180" t="s">
        <v>213</v>
      </c>
    </row>
    <row r="296" spans="2:7" outlineLevel="1">
      <c r="B296" s="178" t="str">
        <f t="shared" si="22"/>
        <v>Ventas Proyecto AIA</v>
      </c>
      <c r="C296" s="189">
        <f>+C299+C300+C301+C302+C304</f>
        <v>0.5</v>
      </c>
      <c r="D296" s="200"/>
      <c r="E296" s="190">
        <f>+E299+E300+E301+E302+E304</f>
        <v>0.5</v>
      </c>
      <c r="F296" s="190">
        <f>+E296+C296</f>
        <v>1</v>
      </c>
      <c r="G296" s="191">
        <f>+F296-1</f>
        <v>0</v>
      </c>
    </row>
    <row r="297" spans="2:7" outlineLevel="1">
      <c r="B297" s="178" t="str">
        <f t="shared" si="22"/>
        <v>Margen total</v>
      </c>
      <c r="C297" s="189">
        <f>+C299+C300+C301+(C302-C303)+C306</f>
        <v>0</v>
      </c>
      <c r="D297" s="200"/>
      <c r="E297" s="189">
        <f>+E299+E300+E301+(E302-E303)+E306</f>
        <v>0</v>
      </c>
      <c r="F297" s="190">
        <f>+E297+C297</f>
        <v>0</v>
      </c>
      <c r="G297" s="191">
        <f>+F297-G284-G285-G286-C291-C288-C289-C290</f>
        <v>0</v>
      </c>
    </row>
    <row r="298" spans="2:7" outlineLevel="1">
      <c r="B298" s="178"/>
      <c r="C298" s="188"/>
      <c r="D298" s="200"/>
      <c r="E298" s="188"/>
      <c r="F298" s="14"/>
      <c r="G298" s="180"/>
    </row>
    <row r="299" spans="2:7" outlineLevel="1">
      <c r="B299" s="178" t="str">
        <f t="shared" si="22"/>
        <v>Ventas Arquitectura</v>
      </c>
      <c r="C299" s="192">
        <f>IF(Arq="Si",0,+G284*F284)</f>
        <v>0</v>
      </c>
      <c r="D299" s="200" t="s">
        <v>204</v>
      </c>
      <c r="E299" s="193">
        <f>+E284*G284</f>
        <v>0</v>
      </c>
      <c r="F299" s="190">
        <f t="shared" ref="F299:F304" si="23">+E299+C299</f>
        <v>0</v>
      </c>
      <c r="G299" s="194">
        <f>+F299-G284</f>
        <v>0</v>
      </c>
    </row>
    <row r="300" spans="2:7" outlineLevel="1">
      <c r="B300" s="178" t="str">
        <f t="shared" si="22"/>
        <v>Ventas Preconstrucción</v>
      </c>
      <c r="C300" s="193">
        <f>+G285*F285</f>
        <v>0</v>
      </c>
      <c r="D300" s="200" t="s">
        <v>204</v>
      </c>
      <c r="E300" s="193">
        <f>+E285*G285</f>
        <v>0</v>
      </c>
      <c r="F300" s="190">
        <f t="shared" si="23"/>
        <v>0</v>
      </c>
      <c r="G300" s="194">
        <f>+F300-G285</f>
        <v>0</v>
      </c>
    </row>
    <row r="301" spans="2:7" outlineLevel="1">
      <c r="B301" s="178" t="str">
        <f t="shared" si="22"/>
        <v>Ingresos como inversionista</v>
      </c>
      <c r="C301" s="193">
        <f>+C291*F291</f>
        <v>0</v>
      </c>
      <c r="D301" s="200" t="s">
        <v>204</v>
      </c>
      <c r="E301" s="193">
        <f>+C291*E291</f>
        <v>0</v>
      </c>
      <c r="F301" s="190">
        <f t="shared" si="23"/>
        <v>0</v>
      </c>
      <c r="G301" s="194">
        <f>+F301-C291</f>
        <v>0</v>
      </c>
    </row>
    <row r="302" spans="2:7" outlineLevel="1">
      <c r="B302" s="178" t="str">
        <f t="shared" si="22"/>
        <v>Ventas Construcción</v>
      </c>
      <c r="C302" s="193">
        <f>+F286*(C293+G286)</f>
        <v>0</v>
      </c>
      <c r="D302" s="200" t="s">
        <v>204</v>
      </c>
      <c r="E302" s="193">
        <f>+E286*(C293+G286)</f>
        <v>0</v>
      </c>
      <c r="F302" s="190">
        <f t="shared" si="23"/>
        <v>0</v>
      </c>
      <c r="G302" s="194">
        <f>+F302-C293-G286</f>
        <v>0</v>
      </c>
    </row>
    <row r="303" spans="2:7" outlineLevel="1">
      <c r="B303" s="178" t="str">
        <f t="shared" si="22"/>
        <v>Costo Construcción</v>
      </c>
      <c r="C303" s="193">
        <f>+C293*F286</f>
        <v>0</v>
      </c>
      <c r="D303" s="200" t="s">
        <v>204</v>
      </c>
      <c r="E303" s="193">
        <f>+E286*C293</f>
        <v>0</v>
      </c>
      <c r="F303" s="190">
        <f t="shared" si="23"/>
        <v>0</v>
      </c>
      <c r="G303" s="194">
        <f>+F303-C293</f>
        <v>0</v>
      </c>
    </row>
    <row r="304" spans="2:7" outlineLevel="1">
      <c r="B304" s="178" t="str">
        <f t="shared" si="22"/>
        <v>Ventas Inmobiliarias</v>
      </c>
      <c r="C304" s="193">
        <f>+(1-(F299+F300+F301+F302))*F287</f>
        <v>0.5</v>
      </c>
      <c r="D304" s="200" t="s">
        <v>204</v>
      </c>
      <c r="E304" s="193">
        <f>+(1-(F299+F300+F301+F302))*E287</f>
        <v>0.5</v>
      </c>
      <c r="F304" s="190">
        <f t="shared" si="23"/>
        <v>1</v>
      </c>
      <c r="G304" s="194"/>
    </row>
    <row r="305" spans="2:8" outlineLevel="1">
      <c r="B305" s="178" t="str">
        <f t="shared" si="22"/>
        <v>Costo Inmobiliario</v>
      </c>
      <c r="C305" s="190">
        <f>+C304-C306</f>
        <v>0.5</v>
      </c>
      <c r="D305" s="200" t="s">
        <v>204</v>
      </c>
      <c r="E305" s="193">
        <f>+E304-E306</f>
        <v>0.5</v>
      </c>
      <c r="F305" s="190">
        <f>+F304-F306</f>
        <v>1</v>
      </c>
      <c r="G305" s="194"/>
    </row>
    <row r="306" spans="2:8" ht="17" outlineLevel="1" thickBot="1">
      <c r="B306" s="195" t="str">
        <f t="shared" si="22"/>
        <v>Utilidad Inmobiliaria</v>
      </c>
      <c r="C306" s="196">
        <f>+C288*F288+C289*F289+C290*F290</f>
        <v>0</v>
      </c>
      <c r="D306" s="201" t="s">
        <v>204</v>
      </c>
      <c r="E306" s="196">
        <f>+C288*E288+C289*E289+C290*E290</f>
        <v>0</v>
      </c>
      <c r="F306" s="197">
        <f>+E306+C306</f>
        <v>0</v>
      </c>
      <c r="G306" s="198">
        <f>+F306-C288-C289-C290</f>
        <v>0</v>
      </c>
    </row>
    <row r="307" spans="2:8" ht="17" thickTop="1">
      <c r="B307" s="175" t="s">
        <v>230</v>
      </c>
      <c r="C307" s="176"/>
      <c r="D307" s="199"/>
      <c r="E307" s="176" t="s">
        <v>235</v>
      </c>
      <c r="F307" s="176"/>
      <c r="G307" s="177"/>
    </row>
    <row r="308" spans="2:8" outlineLevel="1">
      <c r="B308" s="178" t="str">
        <f>+B283</f>
        <v>Nro apartamentos totales</v>
      </c>
      <c r="C308" s="179"/>
      <c r="D308" s="200"/>
      <c r="E308" s="14"/>
      <c r="F308" s="14"/>
      <c r="G308" s="180"/>
    </row>
    <row r="309" spans="2:8" outlineLevel="1">
      <c r="B309" s="178" t="str">
        <f t="shared" ref="B309:B331" si="24">+B284</f>
        <v>Honor Arquitectura</v>
      </c>
      <c r="C309" s="181"/>
      <c r="D309" s="200" t="s">
        <v>195</v>
      </c>
      <c r="E309" s="182"/>
      <c r="F309" s="182"/>
      <c r="G309" s="183">
        <f>+C309*C318</f>
        <v>0</v>
      </c>
      <c r="H309" t="s">
        <v>204</v>
      </c>
    </row>
    <row r="310" spans="2:8" outlineLevel="1">
      <c r="B310" s="178" t="str">
        <f t="shared" si="24"/>
        <v>Honor Preconstrucción</v>
      </c>
      <c r="C310" s="181"/>
      <c r="D310" s="200" t="s">
        <v>195</v>
      </c>
      <c r="E310" s="182"/>
      <c r="F310" s="182"/>
      <c r="G310" s="183">
        <f>+C310*$C$318</f>
        <v>0</v>
      </c>
      <c r="H310" t="s">
        <v>204</v>
      </c>
    </row>
    <row r="311" spans="2:8" outlineLevel="1">
      <c r="B311" s="178" t="str">
        <f t="shared" si="24"/>
        <v>Honor Construcción</v>
      </c>
      <c r="C311" s="184"/>
      <c r="D311" s="200" t="s">
        <v>195</v>
      </c>
      <c r="E311" s="182"/>
      <c r="F311" s="182"/>
      <c r="G311" s="183">
        <f>+C311*$C$318</f>
        <v>0</v>
      </c>
      <c r="H311" t="s">
        <v>204</v>
      </c>
    </row>
    <row r="312" spans="2:8" outlineLevel="1">
      <c r="B312" s="178" t="str">
        <f t="shared" si="24"/>
        <v>Honor Inmobiliario</v>
      </c>
      <c r="C312" s="15"/>
      <c r="D312" s="200"/>
      <c r="E312" s="14">
        <f>IFERROR(+(E313*C313+E314*C314+E315*C315)/(C313+C314+C315),50%)</f>
        <v>0.5</v>
      </c>
      <c r="F312" s="14">
        <f>+IFERROR((F313*C313+F314*C314+F315*C315)/(C313+C314+C315),50%)</f>
        <v>0.5</v>
      </c>
      <c r="G312" s="180"/>
    </row>
    <row r="313" spans="2:8" outlineLevel="2">
      <c r="B313" s="185" t="str">
        <f t="shared" si="24"/>
        <v>Honor. Estructuración</v>
      </c>
      <c r="C313" s="186"/>
      <c r="D313" s="200" t="s">
        <v>204</v>
      </c>
      <c r="E313" s="182"/>
      <c r="F313" s="182"/>
      <c r="G313" s="180"/>
    </row>
    <row r="314" spans="2:8" outlineLevel="2">
      <c r="B314" s="185" t="str">
        <f t="shared" si="24"/>
        <v>Honor Gerencia</v>
      </c>
      <c r="C314" s="186"/>
      <c r="D314" s="200" t="s">
        <v>204</v>
      </c>
      <c r="E314" s="182"/>
      <c r="F314" s="182"/>
      <c r="G314" s="180"/>
    </row>
    <row r="315" spans="2:8" outlineLevel="2">
      <c r="B315" s="185" t="str">
        <f t="shared" si="24"/>
        <v>Honor. Ventas</v>
      </c>
      <c r="C315" s="186"/>
      <c r="D315" s="200" t="s">
        <v>204</v>
      </c>
      <c r="E315" s="182"/>
      <c r="F315" s="182"/>
      <c r="G315" s="180"/>
    </row>
    <row r="316" spans="2:8" outlineLevel="1">
      <c r="B316" s="178" t="str">
        <f t="shared" si="24"/>
        <v>Util proyecto/Ventas</v>
      </c>
      <c r="C316" s="187"/>
      <c r="D316" s="200" t="s">
        <v>204</v>
      </c>
      <c r="E316" s="182"/>
      <c r="F316" s="182"/>
      <c r="G316" s="180"/>
    </row>
    <row r="317" spans="2:8" outlineLevel="1">
      <c r="B317" s="178" t="str">
        <f t="shared" si="24"/>
        <v>Credito Constructor</v>
      </c>
      <c r="C317" s="14"/>
      <c r="D317" s="200"/>
      <c r="E317" s="182"/>
      <c r="F317" s="182"/>
      <c r="G317" s="180"/>
    </row>
    <row r="318" spans="2:8" outlineLevel="1">
      <c r="B318" s="178" t="str">
        <f t="shared" si="24"/>
        <v>Costo Dir. Const/Ventas</v>
      </c>
      <c r="C318" s="182"/>
      <c r="D318" s="200" t="s">
        <v>204</v>
      </c>
      <c r="E318" s="14"/>
      <c r="F318" s="14"/>
      <c r="G318" s="180"/>
    </row>
    <row r="319" spans="2:8" outlineLevel="1">
      <c r="B319" s="178"/>
      <c r="C319" s="188"/>
      <c r="D319" s="200"/>
      <c r="E319" s="14"/>
      <c r="F319" s="14"/>
      <c r="G319" s="180"/>
    </row>
    <row r="320" spans="2:8" outlineLevel="1">
      <c r="B320" s="178"/>
      <c r="C320" s="188" t="s">
        <v>214</v>
      </c>
      <c r="D320" s="200"/>
      <c r="E320" s="14" t="s">
        <v>96</v>
      </c>
      <c r="F320" s="14" t="s">
        <v>212</v>
      </c>
      <c r="G320" s="180" t="s">
        <v>213</v>
      </c>
    </row>
    <row r="321" spans="2:8" outlineLevel="1">
      <c r="B321" s="178" t="str">
        <f t="shared" si="24"/>
        <v>Ventas Proyecto AIA</v>
      </c>
      <c r="C321" s="189">
        <f>+C324+C325+C326+C327+C329</f>
        <v>0.5</v>
      </c>
      <c r="D321" s="200"/>
      <c r="E321" s="190">
        <f>+E324+E325+E326+E327+E329</f>
        <v>0.5</v>
      </c>
      <c r="F321" s="190">
        <f>+E321+C321</f>
        <v>1</v>
      </c>
      <c r="G321" s="191">
        <f>+F321-1</f>
        <v>0</v>
      </c>
    </row>
    <row r="322" spans="2:8" outlineLevel="1">
      <c r="B322" s="178" t="str">
        <f t="shared" si="24"/>
        <v>Margen total</v>
      </c>
      <c r="C322" s="189">
        <f>+C324+C325+C326+(C327-C328)+C331</f>
        <v>0</v>
      </c>
      <c r="D322" s="200"/>
      <c r="E322" s="189">
        <f>+E324+E325+E326+(E327-E328)+E331</f>
        <v>0</v>
      </c>
      <c r="F322" s="190">
        <f>+E322+C322</f>
        <v>0</v>
      </c>
      <c r="G322" s="191">
        <f>+F322-G309-G310-G311-C316-C313-C314-C315</f>
        <v>0</v>
      </c>
    </row>
    <row r="323" spans="2:8" outlineLevel="1">
      <c r="B323" s="178"/>
      <c r="C323" s="188"/>
      <c r="D323" s="200"/>
      <c r="E323" s="188"/>
      <c r="F323" s="14"/>
      <c r="G323" s="180"/>
    </row>
    <row r="324" spans="2:8" outlineLevel="1">
      <c r="B324" s="178" t="str">
        <f t="shared" si="24"/>
        <v>Ventas Arquitectura</v>
      </c>
      <c r="C324" s="192">
        <f>IF(Arq="Si",0,+G309*F309)</f>
        <v>0</v>
      </c>
      <c r="D324" s="200" t="s">
        <v>204</v>
      </c>
      <c r="E324" s="193">
        <f>+E309*G309</f>
        <v>0</v>
      </c>
      <c r="F324" s="190">
        <f t="shared" ref="F324:F329" si="25">+E324+C324</f>
        <v>0</v>
      </c>
      <c r="G324" s="194">
        <f>+F324-G309</f>
        <v>0</v>
      </c>
    </row>
    <row r="325" spans="2:8" outlineLevel="1">
      <c r="B325" s="178" t="str">
        <f t="shared" si="24"/>
        <v>Ventas Preconstrucción</v>
      </c>
      <c r="C325" s="193">
        <f>+G310*F310</f>
        <v>0</v>
      </c>
      <c r="D325" s="200" t="s">
        <v>204</v>
      </c>
      <c r="E325" s="193">
        <f>+E310*G310</f>
        <v>0</v>
      </c>
      <c r="F325" s="190">
        <f t="shared" si="25"/>
        <v>0</v>
      </c>
      <c r="G325" s="194">
        <f>+F325-G310</f>
        <v>0</v>
      </c>
    </row>
    <row r="326" spans="2:8" outlineLevel="1">
      <c r="B326" s="178" t="str">
        <f t="shared" si="24"/>
        <v>Ingresos como inversionista</v>
      </c>
      <c r="C326" s="193">
        <f>+C316*F316</f>
        <v>0</v>
      </c>
      <c r="D326" s="200" t="s">
        <v>204</v>
      </c>
      <c r="E326" s="193">
        <f>+C316*E316</f>
        <v>0</v>
      </c>
      <c r="F326" s="190">
        <f t="shared" si="25"/>
        <v>0</v>
      </c>
      <c r="G326" s="194">
        <f>+F326-C316</f>
        <v>0</v>
      </c>
    </row>
    <row r="327" spans="2:8" outlineLevel="1">
      <c r="B327" s="178" t="str">
        <f t="shared" si="24"/>
        <v>Ventas Construcción</v>
      </c>
      <c r="C327" s="193">
        <f>+F311*(C318+G311)</f>
        <v>0</v>
      </c>
      <c r="D327" s="200" t="s">
        <v>204</v>
      </c>
      <c r="E327" s="193">
        <f>+E311*(C318+G311)</f>
        <v>0</v>
      </c>
      <c r="F327" s="190">
        <f t="shared" si="25"/>
        <v>0</v>
      </c>
      <c r="G327" s="194">
        <f>+F327-C318-G311</f>
        <v>0</v>
      </c>
    </row>
    <row r="328" spans="2:8" outlineLevel="1">
      <c r="B328" s="178" t="str">
        <f t="shared" si="24"/>
        <v>Costo Construcción</v>
      </c>
      <c r="C328" s="193">
        <f>+C318*F311</f>
        <v>0</v>
      </c>
      <c r="D328" s="200" t="s">
        <v>204</v>
      </c>
      <c r="E328" s="193">
        <f>+E311*C318</f>
        <v>0</v>
      </c>
      <c r="F328" s="190">
        <f t="shared" si="25"/>
        <v>0</v>
      </c>
      <c r="G328" s="194">
        <f>+F328-C318</f>
        <v>0</v>
      </c>
    </row>
    <row r="329" spans="2:8" outlineLevel="1">
      <c r="B329" s="178" t="str">
        <f t="shared" si="24"/>
        <v>Ventas Inmobiliarias</v>
      </c>
      <c r="C329" s="193">
        <f>+(1-(F324+F325+F326+F327))*F312</f>
        <v>0.5</v>
      </c>
      <c r="D329" s="200" t="s">
        <v>204</v>
      </c>
      <c r="E329" s="193">
        <f>+(1-(F324+F325+F326+F327))*E312</f>
        <v>0.5</v>
      </c>
      <c r="F329" s="190">
        <f t="shared" si="25"/>
        <v>1</v>
      </c>
      <c r="G329" s="194"/>
    </row>
    <row r="330" spans="2:8" outlineLevel="1">
      <c r="B330" s="178" t="str">
        <f t="shared" si="24"/>
        <v>Costo Inmobiliario</v>
      </c>
      <c r="C330" s="190">
        <f>+C329-C331</f>
        <v>0.5</v>
      </c>
      <c r="D330" s="200" t="s">
        <v>204</v>
      </c>
      <c r="E330" s="193">
        <f>+E329-E331</f>
        <v>0.5</v>
      </c>
      <c r="F330" s="190">
        <f>+F329-F331</f>
        <v>1</v>
      </c>
      <c r="G330" s="194"/>
    </row>
    <row r="331" spans="2:8" ht="17" outlineLevel="1" thickBot="1">
      <c r="B331" s="195" t="str">
        <f t="shared" si="24"/>
        <v>Utilidad Inmobiliaria</v>
      </c>
      <c r="C331" s="196">
        <f>+C313*F313+C314*F314+C315*F315</f>
        <v>0</v>
      </c>
      <c r="D331" s="201" t="s">
        <v>204</v>
      </c>
      <c r="E331" s="196">
        <f>+C313*E313+C314*E314+C315*E315</f>
        <v>0</v>
      </c>
      <c r="F331" s="197">
        <f>+E331+C331</f>
        <v>0</v>
      </c>
      <c r="G331" s="198">
        <f>+F331-C313-C314-C315</f>
        <v>0</v>
      </c>
    </row>
    <row r="332" spans="2:8" ht="17" thickTop="1">
      <c r="B332" s="175" t="s">
        <v>231</v>
      </c>
      <c r="C332" s="176"/>
      <c r="D332" s="199"/>
      <c r="E332" s="176" t="s">
        <v>235</v>
      </c>
      <c r="F332" s="176"/>
      <c r="G332" s="177"/>
    </row>
    <row r="333" spans="2:8" outlineLevel="1">
      <c r="B333" s="178" t="str">
        <f>+B308</f>
        <v>Nro apartamentos totales</v>
      </c>
      <c r="C333" s="179"/>
      <c r="D333" s="200"/>
      <c r="E333" s="14"/>
      <c r="F333" s="14"/>
      <c r="G333" s="180"/>
    </row>
    <row r="334" spans="2:8" outlineLevel="1">
      <c r="B334" s="178" t="str">
        <f t="shared" ref="B334:B356" si="26">+B309</f>
        <v>Honor Arquitectura</v>
      </c>
      <c r="C334" s="181"/>
      <c r="D334" s="200" t="s">
        <v>195</v>
      </c>
      <c r="E334" s="182"/>
      <c r="F334" s="182"/>
      <c r="G334" s="183">
        <f>+C334*C343</f>
        <v>0</v>
      </c>
      <c r="H334" t="s">
        <v>204</v>
      </c>
    </row>
    <row r="335" spans="2:8" outlineLevel="1">
      <c r="B335" s="178" t="str">
        <f t="shared" si="26"/>
        <v>Honor Preconstrucción</v>
      </c>
      <c r="C335" s="181"/>
      <c r="D335" s="200" t="s">
        <v>195</v>
      </c>
      <c r="E335" s="182"/>
      <c r="F335" s="182"/>
      <c r="G335" s="183">
        <f>+C335*$C$343</f>
        <v>0</v>
      </c>
      <c r="H335" t="s">
        <v>204</v>
      </c>
    </row>
    <row r="336" spans="2:8" outlineLevel="1">
      <c r="B336" s="178" t="str">
        <f t="shared" si="26"/>
        <v>Honor Construcción</v>
      </c>
      <c r="C336" s="184"/>
      <c r="D336" s="200" t="s">
        <v>195</v>
      </c>
      <c r="E336" s="182"/>
      <c r="F336" s="182"/>
      <c r="G336" s="183">
        <f>+C336*$C$343</f>
        <v>0</v>
      </c>
      <c r="H336" t="s">
        <v>204</v>
      </c>
    </row>
    <row r="337" spans="2:7" outlineLevel="1">
      <c r="B337" s="178" t="str">
        <f t="shared" si="26"/>
        <v>Honor Inmobiliario</v>
      </c>
      <c r="C337" s="15"/>
      <c r="D337" s="200"/>
      <c r="E337" s="14">
        <f>IFERROR(+(E338*C338+E339*C339+E340*C340)/(C338+C339+C340),50%)</f>
        <v>0.5</v>
      </c>
      <c r="F337" s="14">
        <f>+IFERROR((F338*C338+F339*C339+F340*C340)/(C338+C339+C340),50%)</f>
        <v>0.5</v>
      </c>
      <c r="G337" s="180"/>
    </row>
    <row r="338" spans="2:7" outlineLevel="2">
      <c r="B338" s="185" t="str">
        <f t="shared" si="26"/>
        <v>Honor. Estructuración</v>
      </c>
      <c r="C338" s="186"/>
      <c r="D338" s="200" t="s">
        <v>204</v>
      </c>
      <c r="E338" s="182"/>
      <c r="F338" s="182"/>
      <c r="G338" s="180"/>
    </row>
    <row r="339" spans="2:7" outlineLevel="2">
      <c r="B339" s="185" t="str">
        <f t="shared" si="26"/>
        <v>Honor Gerencia</v>
      </c>
      <c r="C339" s="186"/>
      <c r="D339" s="200" t="s">
        <v>204</v>
      </c>
      <c r="E339" s="182"/>
      <c r="F339" s="182"/>
      <c r="G339" s="180"/>
    </row>
    <row r="340" spans="2:7" outlineLevel="2">
      <c r="B340" s="185" t="str">
        <f t="shared" si="26"/>
        <v>Honor. Ventas</v>
      </c>
      <c r="C340" s="186"/>
      <c r="D340" s="200" t="s">
        <v>204</v>
      </c>
      <c r="E340" s="182"/>
      <c r="F340" s="182"/>
      <c r="G340" s="180"/>
    </row>
    <row r="341" spans="2:7" outlineLevel="1">
      <c r="B341" s="178" t="str">
        <f t="shared" si="26"/>
        <v>Util proyecto/Ventas</v>
      </c>
      <c r="C341" s="187"/>
      <c r="D341" s="200" t="s">
        <v>204</v>
      </c>
      <c r="E341" s="182"/>
      <c r="F341" s="182"/>
      <c r="G341" s="180"/>
    </row>
    <row r="342" spans="2:7" outlineLevel="1">
      <c r="B342" s="178" t="str">
        <f t="shared" si="26"/>
        <v>Credito Constructor</v>
      </c>
      <c r="C342" s="14"/>
      <c r="D342" s="200"/>
      <c r="E342" s="182"/>
      <c r="F342" s="182"/>
      <c r="G342" s="180"/>
    </row>
    <row r="343" spans="2:7" outlineLevel="1">
      <c r="B343" s="178" t="str">
        <f t="shared" si="26"/>
        <v>Costo Dir. Const/Ventas</v>
      </c>
      <c r="C343" s="182"/>
      <c r="D343" s="200" t="s">
        <v>204</v>
      </c>
      <c r="E343" s="14"/>
      <c r="F343" s="14"/>
      <c r="G343" s="180"/>
    </row>
    <row r="344" spans="2:7" outlineLevel="1">
      <c r="B344" s="178"/>
      <c r="C344" s="188"/>
      <c r="D344" s="200"/>
      <c r="E344" s="14"/>
      <c r="F344" s="14"/>
      <c r="G344" s="180"/>
    </row>
    <row r="345" spans="2:7" outlineLevel="1">
      <c r="B345" s="178"/>
      <c r="C345" s="188" t="s">
        <v>214</v>
      </c>
      <c r="D345" s="200"/>
      <c r="E345" s="14" t="s">
        <v>96</v>
      </c>
      <c r="F345" s="14" t="s">
        <v>212</v>
      </c>
      <c r="G345" s="180" t="s">
        <v>213</v>
      </c>
    </row>
    <row r="346" spans="2:7" outlineLevel="1">
      <c r="B346" s="178" t="str">
        <f t="shared" si="26"/>
        <v>Ventas Proyecto AIA</v>
      </c>
      <c r="C346" s="189">
        <f>+C349+C350+C351+C352+C354</f>
        <v>0.5</v>
      </c>
      <c r="D346" s="200"/>
      <c r="E346" s="190">
        <f>+E349+E350+E351+E352+E354</f>
        <v>0.5</v>
      </c>
      <c r="F346" s="190">
        <f>+E346+C346</f>
        <v>1</v>
      </c>
      <c r="G346" s="191">
        <f>+F346-1</f>
        <v>0</v>
      </c>
    </row>
    <row r="347" spans="2:7" outlineLevel="1">
      <c r="B347" s="178" t="str">
        <f t="shared" si="26"/>
        <v>Margen total</v>
      </c>
      <c r="C347" s="189">
        <f>+C349+C350+C351+(C352-C353)+C356</f>
        <v>0</v>
      </c>
      <c r="D347" s="200"/>
      <c r="E347" s="189">
        <f>+E349+E350+E351+(E352-E353)+E356</f>
        <v>0</v>
      </c>
      <c r="F347" s="190">
        <f>+E347+C347</f>
        <v>0</v>
      </c>
      <c r="G347" s="191">
        <f>+F347-G334-G335-G336-C341-C338-C339-C340</f>
        <v>0</v>
      </c>
    </row>
    <row r="348" spans="2:7" outlineLevel="1">
      <c r="B348" s="178"/>
      <c r="C348" s="188"/>
      <c r="D348" s="200"/>
      <c r="E348" s="188"/>
      <c r="F348" s="14"/>
      <c r="G348" s="180"/>
    </row>
    <row r="349" spans="2:7" outlineLevel="1">
      <c r="B349" s="178" t="str">
        <f t="shared" si="26"/>
        <v>Ventas Arquitectura</v>
      </c>
      <c r="C349" s="192">
        <f>IF(Arq="Si",0,+G334*F334)</f>
        <v>0</v>
      </c>
      <c r="D349" s="200" t="s">
        <v>204</v>
      </c>
      <c r="E349" s="193">
        <f>+E334*G334</f>
        <v>0</v>
      </c>
      <c r="F349" s="190">
        <f t="shared" ref="F349:F354" si="27">+E349+C349</f>
        <v>0</v>
      </c>
      <c r="G349" s="194">
        <f>+F349-G334</f>
        <v>0</v>
      </c>
    </row>
    <row r="350" spans="2:7" outlineLevel="1">
      <c r="B350" s="178" t="str">
        <f t="shared" si="26"/>
        <v>Ventas Preconstrucción</v>
      </c>
      <c r="C350" s="193">
        <f>+G335*F335</f>
        <v>0</v>
      </c>
      <c r="D350" s="200" t="s">
        <v>204</v>
      </c>
      <c r="E350" s="193">
        <f>+E335*G335</f>
        <v>0</v>
      </c>
      <c r="F350" s="190">
        <f t="shared" si="27"/>
        <v>0</v>
      </c>
      <c r="G350" s="194">
        <f>+F350-G335</f>
        <v>0</v>
      </c>
    </row>
    <row r="351" spans="2:7" outlineLevel="1">
      <c r="B351" s="178" t="str">
        <f t="shared" si="26"/>
        <v>Ingresos como inversionista</v>
      </c>
      <c r="C351" s="193">
        <f>+C341*F341</f>
        <v>0</v>
      </c>
      <c r="D351" s="200" t="s">
        <v>204</v>
      </c>
      <c r="E351" s="193">
        <f>+C341*E341</f>
        <v>0</v>
      </c>
      <c r="F351" s="190">
        <f t="shared" si="27"/>
        <v>0</v>
      </c>
      <c r="G351" s="194">
        <f>+F351-C341</f>
        <v>0</v>
      </c>
    </row>
    <row r="352" spans="2:7" outlineLevel="1">
      <c r="B352" s="178" t="str">
        <f t="shared" si="26"/>
        <v>Ventas Construcción</v>
      </c>
      <c r="C352" s="193">
        <f>+F336*(C343+G336)</f>
        <v>0</v>
      </c>
      <c r="D352" s="200" t="s">
        <v>204</v>
      </c>
      <c r="E352" s="193">
        <f>+E336*(C343+G336)</f>
        <v>0</v>
      </c>
      <c r="F352" s="190">
        <f t="shared" si="27"/>
        <v>0</v>
      </c>
      <c r="G352" s="194">
        <f>+F352-C343-G336</f>
        <v>0</v>
      </c>
    </row>
    <row r="353" spans="2:7" outlineLevel="1">
      <c r="B353" s="178" t="str">
        <f t="shared" si="26"/>
        <v>Costo Construcción</v>
      </c>
      <c r="C353" s="193">
        <f>+C343*F336</f>
        <v>0</v>
      </c>
      <c r="D353" s="200" t="s">
        <v>204</v>
      </c>
      <c r="E353" s="193">
        <f>+E336*C343</f>
        <v>0</v>
      </c>
      <c r="F353" s="190">
        <f t="shared" si="27"/>
        <v>0</v>
      </c>
      <c r="G353" s="194">
        <f>+F353-C343</f>
        <v>0</v>
      </c>
    </row>
    <row r="354" spans="2:7" outlineLevel="1">
      <c r="B354" s="178" t="str">
        <f t="shared" si="26"/>
        <v>Ventas Inmobiliarias</v>
      </c>
      <c r="C354" s="193">
        <f>+(1-(F349+F350+F351+F352))*F337</f>
        <v>0.5</v>
      </c>
      <c r="D354" s="200" t="s">
        <v>204</v>
      </c>
      <c r="E354" s="193">
        <f>+(1-(F349+F350+F351+F352))*E337</f>
        <v>0.5</v>
      </c>
      <c r="F354" s="190">
        <f t="shared" si="27"/>
        <v>1</v>
      </c>
      <c r="G354" s="194"/>
    </row>
    <row r="355" spans="2:7" outlineLevel="1">
      <c r="B355" s="178" t="str">
        <f t="shared" si="26"/>
        <v>Costo Inmobiliario</v>
      </c>
      <c r="C355" s="190">
        <f>+C354-C356</f>
        <v>0.5</v>
      </c>
      <c r="D355" s="200" t="s">
        <v>204</v>
      </c>
      <c r="E355" s="193">
        <f>+E354-E356</f>
        <v>0.5</v>
      </c>
      <c r="F355" s="190">
        <f>+F354-F356</f>
        <v>1</v>
      </c>
      <c r="G355" s="194"/>
    </row>
    <row r="356" spans="2:7" ht="17" outlineLevel="1" thickBot="1">
      <c r="B356" s="195" t="str">
        <f t="shared" si="26"/>
        <v>Utilidad Inmobiliaria</v>
      </c>
      <c r="C356" s="196">
        <f>+C338*F338+C339*F339+C340*F340</f>
        <v>0</v>
      </c>
      <c r="D356" s="201" t="s">
        <v>204</v>
      </c>
      <c r="E356" s="196">
        <f>+C338*E338+C339*E339+C340*E340</f>
        <v>0</v>
      </c>
      <c r="F356" s="197">
        <f>+E356+C356</f>
        <v>0</v>
      </c>
      <c r="G356" s="198">
        <f>+F356-C338-C339-C340</f>
        <v>0</v>
      </c>
    </row>
    <row r="357" spans="2:7" ht="17" thickTop="1"/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L1260"/>
  <sheetViews>
    <sheetView zoomScale="125" zoomScaleNormal="125" zoomScalePageLayoutView="125" workbookViewId="0">
      <pane xSplit="2" ySplit="4" topLeftCell="I520" activePane="bottomRight" state="frozen"/>
      <selection activeCell="C38" sqref="C38:C40"/>
      <selection pane="topRight" activeCell="C38" sqref="C38:C40"/>
      <selection pane="bottomLeft" activeCell="C38" sqref="C38:C40"/>
      <selection pane="bottomRight" activeCell="J539" sqref="J539"/>
    </sheetView>
  </sheetViews>
  <sheetFormatPr baseColWidth="10" defaultRowHeight="16" outlineLevelRow="3"/>
  <cols>
    <col min="2" max="2" width="42.6640625" bestFit="1" customWidth="1"/>
    <col min="3" max="3" width="35.6640625" bestFit="1" customWidth="1"/>
    <col min="4" max="4" width="12.1640625" bestFit="1" customWidth="1"/>
    <col min="5" max="5" width="6.6640625" bestFit="1" customWidth="1"/>
    <col min="6" max="6" width="11.83203125" customWidth="1"/>
    <col min="7" max="7" width="10.83203125" bestFit="1" customWidth="1"/>
    <col min="8" max="8" width="16.5" bestFit="1" customWidth="1"/>
    <col min="9" max="9" width="13.6640625" customWidth="1"/>
    <col min="10" max="10" width="14" customWidth="1"/>
    <col min="11" max="13" width="16.5" bestFit="1" customWidth="1"/>
    <col min="14" max="14" width="11" customWidth="1"/>
    <col min="15" max="21" width="13" bestFit="1" customWidth="1"/>
    <col min="22" max="27" width="11.6640625" bestFit="1" customWidth="1"/>
    <col min="40" max="40" width="15.1640625" bestFit="1" customWidth="1"/>
  </cols>
  <sheetData>
    <row r="3" spans="2:27">
      <c r="B3" t="s">
        <v>320</v>
      </c>
      <c r="G3" s="1">
        <f>+Proyecciones!G57</f>
        <v>1</v>
      </c>
      <c r="H3" s="1">
        <f>+Proyecciones!H57</f>
        <v>1</v>
      </c>
      <c r="I3" s="1">
        <f>+Proyecciones!I57</f>
        <v>1</v>
      </c>
      <c r="J3" s="1">
        <f>+Proyecciones!J57</f>
        <v>1</v>
      </c>
      <c r="K3" s="1">
        <f>+Proyecciones!K57</f>
        <v>1</v>
      </c>
      <c r="L3" s="1">
        <f>+Proyecciones!L57</f>
        <v>1</v>
      </c>
      <c r="M3" s="1">
        <f>+Proyecciones!M57</f>
        <v>1</v>
      </c>
      <c r="N3" s="1">
        <f>+Proyecciones!N57</f>
        <v>1</v>
      </c>
      <c r="O3" s="1">
        <f>+Proyecciones!O57</f>
        <v>1</v>
      </c>
      <c r="P3" s="1">
        <f>+Proyecciones!P57</f>
        <v>1</v>
      </c>
      <c r="Q3" s="1">
        <f>+Proyecciones!Q57</f>
        <v>1</v>
      </c>
      <c r="R3" s="1">
        <f>+Proyecciones!R57</f>
        <v>1</v>
      </c>
      <c r="S3" s="1">
        <f>+Proyecciones!S57</f>
        <v>1</v>
      </c>
      <c r="T3" s="1">
        <f>+Proyecciones!T57</f>
        <v>1</v>
      </c>
      <c r="U3" s="1">
        <f>+Proyecciones!U57</f>
        <v>1</v>
      </c>
      <c r="V3" s="1">
        <f>+Proyecciones!V57</f>
        <v>1</v>
      </c>
      <c r="W3" s="1">
        <f>+Proyecciones!W57</f>
        <v>1</v>
      </c>
      <c r="X3" s="1">
        <f>+Proyecciones!X57</f>
        <v>1</v>
      </c>
      <c r="Y3" s="1">
        <f>+Proyecciones!Y57</f>
        <v>1</v>
      </c>
      <c r="Z3" s="1">
        <f>+Proyecciones!Z57</f>
        <v>1</v>
      </c>
      <c r="AA3" s="1">
        <f>+Proyecciones!AA57</f>
        <v>1</v>
      </c>
    </row>
    <row r="4" spans="2:27">
      <c r="G4">
        <f>+'Ventas externas'!L4</f>
        <v>2019</v>
      </c>
      <c r="H4">
        <f>+'Ventas externas'!M4</f>
        <v>2020</v>
      </c>
      <c r="I4">
        <f>+'Ventas externas'!N4</f>
        <v>2021</v>
      </c>
      <c r="J4">
        <f>+'Ventas externas'!O4</f>
        <v>2022</v>
      </c>
      <c r="K4">
        <f>+'Ventas externas'!P4</f>
        <v>2023</v>
      </c>
      <c r="L4">
        <f>+'Ventas externas'!Q4</f>
        <v>2024</v>
      </c>
      <c r="M4">
        <f>+'Ventas externas'!R4</f>
        <v>2025</v>
      </c>
      <c r="N4">
        <f>+'Ventas externas'!S4</f>
        <v>2026</v>
      </c>
      <c r="O4">
        <f>+'Ventas externas'!T4</f>
        <v>2027</v>
      </c>
      <c r="P4">
        <f>+'Ventas externas'!U4</f>
        <v>2028</v>
      </c>
      <c r="Q4">
        <f>+'Ventas externas'!V4</f>
        <v>2029</v>
      </c>
      <c r="R4">
        <f>+'Ventas externas'!W4</f>
        <v>2030</v>
      </c>
      <c r="S4">
        <f>+'Ventas externas'!X4</f>
        <v>2031</v>
      </c>
      <c r="T4">
        <f>+'Ventas externas'!Y4</f>
        <v>2032</v>
      </c>
      <c r="U4">
        <f>+'Ventas externas'!Z4</f>
        <v>2033</v>
      </c>
      <c r="V4">
        <f>+'Ventas externas'!AA4</f>
        <v>2034</v>
      </c>
      <c r="W4">
        <f>+'Ventas externas'!AB4</f>
        <v>2035</v>
      </c>
      <c r="X4">
        <f>+'Ventas externas'!AC4</f>
        <v>2036</v>
      </c>
      <c r="Y4">
        <f>+'Ventas externas'!AD4</f>
        <v>2037</v>
      </c>
      <c r="Z4">
        <f>+'Ventas externas'!AE4</f>
        <v>2038</v>
      </c>
      <c r="AA4">
        <f>+'Ventas externas'!AF4</f>
        <v>2039</v>
      </c>
    </row>
    <row r="5" spans="2:27">
      <c r="B5" s="17" t="s">
        <v>42</v>
      </c>
      <c r="C5" s="17" t="s">
        <v>50</v>
      </c>
    </row>
    <row r="6" spans="2:27">
      <c r="B6" s="16" t="s">
        <v>45</v>
      </c>
      <c r="C6" s="16"/>
    </row>
    <row r="7" spans="2:27" outlineLevel="1">
      <c r="B7" s="18" t="s">
        <v>238</v>
      </c>
      <c r="C7" s="20"/>
      <c r="D7" t="s">
        <v>185</v>
      </c>
    </row>
    <row r="8" spans="2:27" outlineLevel="2">
      <c r="B8" s="19" t="s">
        <v>220</v>
      </c>
      <c r="C8" s="20"/>
    </row>
    <row r="9" spans="2:27" ht="34" outlineLevel="3">
      <c r="B9" s="25" t="s">
        <v>58</v>
      </c>
      <c r="C9" s="20"/>
      <c r="G9" s="60">
        <f>296+202</f>
        <v>498</v>
      </c>
      <c r="H9" s="60">
        <v>498</v>
      </c>
      <c r="I9" s="60">
        <v>498</v>
      </c>
      <c r="J9" s="60">
        <v>498</v>
      </c>
      <c r="K9" s="60">
        <v>498</v>
      </c>
      <c r="L9" s="60">
        <v>498</v>
      </c>
      <c r="M9" s="60">
        <v>498</v>
      </c>
      <c r="N9" s="60">
        <v>498</v>
      </c>
      <c r="O9" s="60">
        <v>498</v>
      </c>
      <c r="P9" s="60">
        <v>498</v>
      </c>
      <c r="Q9" s="60">
        <v>498</v>
      </c>
      <c r="R9" s="60">
        <v>498</v>
      </c>
      <c r="S9" s="60">
        <v>498</v>
      </c>
      <c r="T9" s="60">
        <v>498</v>
      </c>
      <c r="U9" s="60">
        <v>498</v>
      </c>
      <c r="V9" s="60">
        <v>498</v>
      </c>
      <c r="W9" s="60">
        <v>498</v>
      </c>
      <c r="X9" s="60">
        <v>498</v>
      </c>
      <c r="Y9" s="60">
        <v>498</v>
      </c>
      <c r="Z9" s="60">
        <v>498</v>
      </c>
      <c r="AA9" s="60">
        <v>498</v>
      </c>
    </row>
    <row r="10" spans="2:27" ht="17" outlineLevel="3">
      <c r="B10" s="25" t="s">
        <v>66</v>
      </c>
      <c r="C10" s="20"/>
      <c r="F10" s="2"/>
      <c r="G10" s="61">
        <f>37262.791+26323.013</f>
        <v>63585.803999999996</v>
      </c>
      <c r="H10" s="61">
        <f>+G10</f>
        <v>63585.803999999996</v>
      </c>
      <c r="I10" s="61">
        <f t="shared" ref="I10:AA10" si="0">+H10</f>
        <v>63585.803999999996</v>
      </c>
      <c r="J10" s="61">
        <f t="shared" si="0"/>
        <v>63585.803999999996</v>
      </c>
      <c r="K10" s="61">
        <f t="shared" si="0"/>
        <v>63585.803999999996</v>
      </c>
      <c r="L10" s="61">
        <f t="shared" si="0"/>
        <v>63585.803999999996</v>
      </c>
      <c r="M10" s="61">
        <f t="shared" si="0"/>
        <v>63585.803999999996</v>
      </c>
      <c r="N10" s="61">
        <f t="shared" si="0"/>
        <v>63585.803999999996</v>
      </c>
      <c r="O10" s="61">
        <f t="shared" si="0"/>
        <v>63585.803999999996</v>
      </c>
      <c r="P10" s="61">
        <f t="shared" si="0"/>
        <v>63585.803999999996</v>
      </c>
      <c r="Q10" s="61">
        <f t="shared" si="0"/>
        <v>63585.803999999996</v>
      </c>
      <c r="R10" s="61">
        <f t="shared" si="0"/>
        <v>63585.803999999996</v>
      </c>
      <c r="S10" s="61">
        <f t="shared" si="0"/>
        <v>63585.803999999996</v>
      </c>
      <c r="T10" s="61">
        <f t="shared" si="0"/>
        <v>63585.803999999996</v>
      </c>
      <c r="U10" s="61">
        <f t="shared" si="0"/>
        <v>63585.803999999996</v>
      </c>
      <c r="V10" s="61">
        <f t="shared" si="0"/>
        <v>63585.803999999996</v>
      </c>
      <c r="W10" s="61">
        <f t="shared" si="0"/>
        <v>63585.803999999996</v>
      </c>
      <c r="X10" s="61">
        <f t="shared" si="0"/>
        <v>63585.803999999996</v>
      </c>
      <c r="Y10" s="61">
        <f t="shared" si="0"/>
        <v>63585.803999999996</v>
      </c>
      <c r="Z10" s="61">
        <f t="shared" si="0"/>
        <v>63585.803999999996</v>
      </c>
      <c r="AA10" s="61">
        <f t="shared" si="0"/>
        <v>63585.803999999996</v>
      </c>
    </row>
    <row r="11" spans="2:27" ht="17" outlineLevel="3">
      <c r="B11" s="25" t="s">
        <v>67</v>
      </c>
      <c r="C11" s="20"/>
      <c r="F11">
        <f t="shared" ref="F11:AA11" si="1">+IF(ISERROR(F10/F9),0,F10/F9)</f>
        <v>0</v>
      </c>
      <c r="G11" s="26">
        <f t="shared" si="1"/>
        <v>127.68233734939759</v>
      </c>
      <c r="H11" s="26">
        <f t="shared" si="1"/>
        <v>127.68233734939759</v>
      </c>
      <c r="I11">
        <f t="shared" si="1"/>
        <v>127.68233734939759</v>
      </c>
      <c r="J11">
        <f t="shared" si="1"/>
        <v>127.68233734939759</v>
      </c>
      <c r="K11">
        <f t="shared" si="1"/>
        <v>127.68233734939759</v>
      </c>
      <c r="L11">
        <f t="shared" si="1"/>
        <v>127.68233734939759</v>
      </c>
      <c r="M11">
        <f t="shared" si="1"/>
        <v>127.68233734939759</v>
      </c>
      <c r="N11">
        <f t="shared" si="1"/>
        <v>127.68233734939759</v>
      </c>
      <c r="O11">
        <f t="shared" si="1"/>
        <v>127.68233734939759</v>
      </c>
      <c r="P11">
        <f t="shared" si="1"/>
        <v>127.68233734939759</v>
      </c>
      <c r="Q11">
        <f t="shared" si="1"/>
        <v>127.68233734939759</v>
      </c>
      <c r="R11">
        <f t="shared" si="1"/>
        <v>127.68233734939759</v>
      </c>
      <c r="S11">
        <f t="shared" si="1"/>
        <v>127.68233734939759</v>
      </c>
      <c r="T11">
        <f t="shared" si="1"/>
        <v>127.68233734939759</v>
      </c>
      <c r="U11">
        <f t="shared" si="1"/>
        <v>127.68233734939759</v>
      </c>
      <c r="V11">
        <f t="shared" si="1"/>
        <v>127.68233734939759</v>
      </c>
      <c r="W11">
        <f t="shared" si="1"/>
        <v>127.68233734939759</v>
      </c>
      <c r="X11">
        <f t="shared" si="1"/>
        <v>127.68233734939759</v>
      </c>
      <c r="Y11">
        <f t="shared" si="1"/>
        <v>127.68233734939759</v>
      </c>
      <c r="Z11">
        <f t="shared" si="1"/>
        <v>127.68233734939759</v>
      </c>
      <c r="AA11">
        <f t="shared" si="1"/>
        <v>127.68233734939759</v>
      </c>
    </row>
    <row r="12" spans="2:27" ht="17" outlineLevel="2">
      <c r="B12" s="22" t="s">
        <v>216</v>
      </c>
      <c r="C12" s="20"/>
      <c r="G12" s="26"/>
      <c r="H12" s="26"/>
    </row>
    <row r="13" spans="2:27" ht="34" outlineLevel="3">
      <c r="B13" s="25" t="s">
        <v>217</v>
      </c>
      <c r="C13" s="20"/>
      <c r="G13" s="62"/>
      <c r="H13" s="62">
        <v>498</v>
      </c>
      <c r="I13" s="62">
        <v>498</v>
      </c>
      <c r="J13" s="62">
        <v>498</v>
      </c>
      <c r="K13" s="62">
        <v>498</v>
      </c>
      <c r="L13" s="62">
        <v>498</v>
      </c>
      <c r="M13" s="62">
        <v>498</v>
      </c>
      <c r="N13" s="62">
        <v>498</v>
      </c>
      <c r="O13" s="62">
        <v>498</v>
      </c>
      <c r="P13" s="62">
        <v>498</v>
      </c>
      <c r="Q13" s="62">
        <v>498</v>
      </c>
      <c r="R13" s="62">
        <v>498</v>
      </c>
      <c r="S13" s="62">
        <v>498</v>
      </c>
      <c r="T13" s="62">
        <v>498</v>
      </c>
      <c r="U13" s="62">
        <v>498</v>
      </c>
      <c r="V13" s="62">
        <v>498</v>
      </c>
      <c r="W13" s="62">
        <v>498</v>
      </c>
      <c r="X13" s="62">
        <v>498</v>
      </c>
      <c r="Y13" s="62">
        <v>498</v>
      </c>
      <c r="Z13" s="62">
        <v>498</v>
      </c>
      <c r="AA13" s="62">
        <v>498</v>
      </c>
    </row>
    <row r="14" spans="2:27" ht="34" outlineLevel="3">
      <c r="B14" s="25" t="s">
        <v>218</v>
      </c>
      <c r="C14" s="20"/>
      <c r="G14" s="62"/>
      <c r="H14" s="62">
        <f>+H10</f>
        <v>63585.803999999996</v>
      </c>
      <c r="I14" s="62">
        <f t="shared" ref="I14:AA14" si="2">+I10</f>
        <v>63585.803999999996</v>
      </c>
      <c r="J14" s="62">
        <f t="shared" si="2"/>
        <v>63585.803999999996</v>
      </c>
      <c r="K14" s="62">
        <f t="shared" si="2"/>
        <v>63585.803999999996</v>
      </c>
      <c r="L14" s="62">
        <f t="shared" si="2"/>
        <v>63585.803999999996</v>
      </c>
      <c r="M14" s="62">
        <f t="shared" si="2"/>
        <v>63585.803999999996</v>
      </c>
      <c r="N14" s="62">
        <f t="shared" si="2"/>
        <v>63585.803999999996</v>
      </c>
      <c r="O14" s="62">
        <f t="shared" si="2"/>
        <v>63585.803999999996</v>
      </c>
      <c r="P14" s="62">
        <f t="shared" si="2"/>
        <v>63585.803999999996</v>
      </c>
      <c r="Q14" s="62">
        <f t="shared" si="2"/>
        <v>63585.803999999996</v>
      </c>
      <c r="R14" s="62">
        <f t="shared" si="2"/>
        <v>63585.803999999996</v>
      </c>
      <c r="S14" s="62">
        <f t="shared" si="2"/>
        <v>63585.803999999996</v>
      </c>
      <c r="T14" s="62">
        <f t="shared" si="2"/>
        <v>63585.803999999996</v>
      </c>
      <c r="U14" s="62">
        <f t="shared" si="2"/>
        <v>63585.803999999996</v>
      </c>
      <c r="V14" s="62">
        <f t="shared" si="2"/>
        <v>63585.803999999996</v>
      </c>
      <c r="W14" s="62">
        <f t="shared" si="2"/>
        <v>63585.803999999996</v>
      </c>
      <c r="X14" s="62">
        <f t="shared" si="2"/>
        <v>63585.803999999996</v>
      </c>
      <c r="Y14" s="62">
        <f t="shared" si="2"/>
        <v>63585.803999999996</v>
      </c>
      <c r="Z14" s="62">
        <f t="shared" si="2"/>
        <v>63585.803999999996</v>
      </c>
      <c r="AA14" s="62">
        <f t="shared" si="2"/>
        <v>63585.803999999996</v>
      </c>
    </row>
    <row r="15" spans="2:27" ht="17" outlineLevel="3">
      <c r="B15" s="25" t="s">
        <v>219</v>
      </c>
      <c r="C15" s="20"/>
      <c r="G15" s="26">
        <f>+IF(ISERROR(G14/G13),0,G14/G13)</f>
        <v>0</v>
      </c>
      <c r="H15" s="26">
        <f>+IF(ISERROR(H14/H13),0,H14/H13)</f>
        <v>127.68233734939759</v>
      </c>
      <c r="I15" s="26">
        <f t="shared" ref="I15:AA15" si="3">+IF(ISERROR(I14/I13),0,I14/I13)</f>
        <v>127.68233734939759</v>
      </c>
      <c r="J15" s="26">
        <f t="shared" si="3"/>
        <v>127.68233734939759</v>
      </c>
      <c r="K15" s="26">
        <f t="shared" si="3"/>
        <v>127.68233734939759</v>
      </c>
      <c r="L15" s="26">
        <f t="shared" si="3"/>
        <v>127.68233734939759</v>
      </c>
      <c r="M15" s="26">
        <f t="shared" si="3"/>
        <v>127.68233734939759</v>
      </c>
      <c r="N15" s="26">
        <f t="shared" si="3"/>
        <v>127.68233734939759</v>
      </c>
      <c r="O15" s="26">
        <f t="shared" si="3"/>
        <v>127.68233734939759</v>
      </c>
      <c r="P15" s="26">
        <f t="shared" si="3"/>
        <v>127.68233734939759</v>
      </c>
      <c r="Q15" s="26">
        <f t="shared" si="3"/>
        <v>127.68233734939759</v>
      </c>
      <c r="R15" s="26">
        <f t="shared" si="3"/>
        <v>127.68233734939759</v>
      </c>
      <c r="S15" s="26">
        <f t="shared" si="3"/>
        <v>127.68233734939759</v>
      </c>
      <c r="T15" s="26">
        <f t="shared" si="3"/>
        <v>127.68233734939759</v>
      </c>
      <c r="U15" s="26">
        <f t="shared" si="3"/>
        <v>127.68233734939759</v>
      </c>
      <c r="V15" s="26">
        <f t="shared" si="3"/>
        <v>127.68233734939759</v>
      </c>
      <c r="W15" s="26">
        <f t="shared" si="3"/>
        <v>127.68233734939759</v>
      </c>
      <c r="X15" s="26">
        <f t="shared" si="3"/>
        <v>127.68233734939759</v>
      </c>
      <c r="Y15" s="26">
        <f t="shared" si="3"/>
        <v>127.68233734939759</v>
      </c>
      <c r="Z15" s="26">
        <f t="shared" si="3"/>
        <v>127.68233734939759</v>
      </c>
      <c r="AA15" s="26">
        <f t="shared" si="3"/>
        <v>127.68233734939759</v>
      </c>
    </row>
    <row r="16" spans="2:27" ht="17" outlineLevel="2">
      <c r="B16" s="22" t="s">
        <v>68</v>
      </c>
      <c r="C16" s="20"/>
    </row>
    <row r="17" spans="2:27" ht="34" outlineLevel="2">
      <c r="B17" s="22" t="s">
        <v>221</v>
      </c>
      <c r="C17" s="20" t="s">
        <v>53</v>
      </c>
      <c r="D17" s="1">
        <v>0.11</v>
      </c>
      <c r="F17">
        <v>0</v>
      </c>
      <c r="G17" s="60">
        <v>0</v>
      </c>
      <c r="H17" s="60">
        <v>0</v>
      </c>
      <c r="I17" s="60"/>
      <c r="J17" s="60"/>
      <c r="K17" s="60"/>
      <c r="L17" s="60"/>
    </row>
    <row r="18" spans="2:27" outlineLevel="2">
      <c r="B18" s="19" t="s">
        <v>55</v>
      </c>
      <c r="C18" s="20"/>
      <c r="F18" s="13"/>
      <c r="G18" s="63">
        <v>0.66210000000000002</v>
      </c>
      <c r="H18" s="63">
        <v>1</v>
      </c>
      <c r="I18" s="63">
        <v>1</v>
      </c>
      <c r="J18" s="63">
        <v>1</v>
      </c>
      <c r="K18" s="63">
        <v>1</v>
      </c>
      <c r="L18" s="63">
        <v>1</v>
      </c>
      <c r="M18" s="63">
        <v>1</v>
      </c>
      <c r="N18" s="63">
        <v>1</v>
      </c>
      <c r="O18" s="63">
        <v>1</v>
      </c>
      <c r="P18" s="63">
        <v>1</v>
      </c>
      <c r="Q18" s="63">
        <v>1</v>
      </c>
      <c r="R18" s="63">
        <v>1</v>
      </c>
      <c r="S18" s="63">
        <v>1</v>
      </c>
      <c r="T18" s="63">
        <v>1</v>
      </c>
      <c r="U18" s="63">
        <v>1</v>
      </c>
      <c r="V18" s="63">
        <v>1</v>
      </c>
      <c r="W18" s="63">
        <v>1</v>
      </c>
      <c r="X18" s="63">
        <v>1</v>
      </c>
      <c r="Y18" s="63">
        <v>1</v>
      </c>
      <c r="Z18" s="63">
        <v>1</v>
      </c>
      <c r="AA18" s="63">
        <v>1</v>
      </c>
    </row>
    <row r="19" spans="2:27" outlineLevel="2">
      <c r="B19" s="19" t="s">
        <v>224</v>
      </c>
      <c r="C19" s="20"/>
      <c r="F19" s="13"/>
      <c r="G19" s="64">
        <f>+G18*G10</f>
        <v>42100.160828399996</v>
      </c>
      <c r="H19" s="64">
        <f>+H18*H10</f>
        <v>63585.803999999996</v>
      </c>
      <c r="I19" s="64">
        <f t="shared" ref="I19:AA19" si="4">+I18*I10</f>
        <v>63585.803999999996</v>
      </c>
      <c r="J19" s="64">
        <f t="shared" si="4"/>
        <v>63585.803999999996</v>
      </c>
      <c r="K19" s="64">
        <f t="shared" si="4"/>
        <v>63585.803999999996</v>
      </c>
      <c r="L19" s="64">
        <f t="shared" si="4"/>
        <v>63585.803999999996</v>
      </c>
      <c r="M19" s="64">
        <f t="shared" si="4"/>
        <v>63585.803999999996</v>
      </c>
      <c r="N19" s="64">
        <f t="shared" si="4"/>
        <v>63585.803999999996</v>
      </c>
      <c r="O19" s="64">
        <f t="shared" si="4"/>
        <v>63585.803999999996</v>
      </c>
      <c r="P19" s="64">
        <f t="shared" si="4"/>
        <v>63585.803999999996</v>
      </c>
      <c r="Q19" s="64">
        <f t="shared" si="4"/>
        <v>63585.803999999996</v>
      </c>
      <c r="R19" s="64">
        <f t="shared" si="4"/>
        <v>63585.803999999996</v>
      </c>
      <c r="S19" s="64">
        <f t="shared" si="4"/>
        <v>63585.803999999996</v>
      </c>
      <c r="T19" s="64">
        <f t="shared" si="4"/>
        <v>63585.803999999996</v>
      </c>
      <c r="U19" s="64">
        <f t="shared" si="4"/>
        <v>63585.803999999996</v>
      </c>
      <c r="V19" s="64">
        <f t="shared" si="4"/>
        <v>63585.803999999996</v>
      </c>
      <c r="W19" s="64">
        <f t="shared" si="4"/>
        <v>63585.803999999996</v>
      </c>
      <c r="X19" s="64">
        <f t="shared" si="4"/>
        <v>63585.803999999996</v>
      </c>
      <c r="Y19" s="64">
        <f t="shared" si="4"/>
        <v>63585.803999999996</v>
      </c>
      <c r="Z19" s="64">
        <f t="shared" si="4"/>
        <v>63585.803999999996</v>
      </c>
      <c r="AA19" s="64">
        <f t="shared" si="4"/>
        <v>63585.803999999996</v>
      </c>
    </row>
    <row r="20" spans="2:27" outlineLevel="2">
      <c r="B20" s="19" t="s">
        <v>225</v>
      </c>
      <c r="C20" s="20"/>
      <c r="G20" s="65">
        <f>+G21+G22+G23+G24+G25</f>
        <v>6642.3720111375487</v>
      </c>
      <c r="H20" s="65">
        <f>+H21+H22+H23+H24+H25</f>
        <v>10032.279128738181</v>
      </c>
      <c r="I20" s="65">
        <f t="shared" ref="I20:AA20" si="5">+I21+I22+I23+I24+I25</f>
        <v>10032.279128738181</v>
      </c>
      <c r="J20" s="65">
        <f t="shared" si="5"/>
        <v>10032.279128738181</v>
      </c>
      <c r="K20" s="65">
        <f t="shared" si="5"/>
        <v>10032.279128738181</v>
      </c>
      <c r="L20" s="65">
        <f t="shared" si="5"/>
        <v>10032.279128738181</v>
      </c>
      <c r="M20" s="65">
        <f t="shared" si="5"/>
        <v>10032.279128738181</v>
      </c>
      <c r="N20" s="65">
        <f t="shared" si="5"/>
        <v>10032.279128738181</v>
      </c>
      <c r="O20" s="65">
        <f t="shared" si="5"/>
        <v>10032.279128738181</v>
      </c>
      <c r="P20" s="65">
        <f t="shared" si="5"/>
        <v>10032.279128738181</v>
      </c>
      <c r="Q20" s="65">
        <f t="shared" si="5"/>
        <v>10032.279128738181</v>
      </c>
      <c r="R20" s="65">
        <f t="shared" si="5"/>
        <v>10032.279128738181</v>
      </c>
      <c r="S20" s="65">
        <f t="shared" si="5"/>
        <v>10032.279128738181</v>
      </c>
      <c r="T20" s="65">
        <f t="shared" si="5"/>
        <v>10032.279128738181</v>
      </c>
      <c r="U20" s="65">
        <f t="shared" si="5"/>
        <v>10032.279128738181</v>
      </c>
      <c r="V20" s="65">
        <f t="shared" si="5"/>
        <v>10032.279128738181</v>
      </c>
      <c r="W20" s="65">
        <f t="shared" si="5"/>
        <v>10032.279128738181</v>
      </c>
      <c r="X20" s="65">
        <f t="shared" si="5"/>
        <v>10032.279128738181</v>
      </c>
      <c r="Y20" s="65">
        <f t="shared" si="5"/>
        <v>10032.279128738181</v>
      </c>
      <c r="Z20" s="65">
        <f t="shared" si="5"/>
        <v>10032.279128738181</v>
      </c>
      <c r="AA20" s="65">
        <f t="shared" si="5"/>
        <v>10032.279128738181</v>
      </c>
    </row>
    <row r="21" spans="2:27" s="4" customFormat="1" outlineLevel="3">
      <c r="B21" s="21" t="s">
        <v>7</v>
      </c>
      <c r="C21" s="21"/>
      <c r="D21" s="23"/>
      <c r="G21" s="65">
        <f>+G19*'Reg Proy Inmob'!$C$24</f>
        <v>0</v>
      </c>
      <c r="H21" s="65">
        <f>+H19*'Reg Proy Inmob'!$C$24</f>
        <v>0</v>
      </c>
      <c r="I21" s="65">
        <f>+I19*'Reg Proy Inmob'!$C$24</f>
        <v>0</v>
      </c>
      <c r="J21" s="65">
        <f>+J19*'Reg Proy Inmob'!$C$24</f>
        <v>0</v>
      </c>
      <c r="K21" s="65">
        <f>+K19*'Reg Proy Inmob'!$C$24</f>
        <v>0</v>
      </c>
      <c r="L21" s="65">
        <f>+L19*'Reg Proy Inmob'!$C$24</f>
        <v>0</v>
      </c>
      <c r="M21" s="65">
        <f>+M19*'Reg Proy Inmob'!$C$24</f>
        <v>0</v>
      </c>
      <c r="N21" s="65">
        <f>+N19*'Reg Proy Inmob'!$C$24</f>
        <v>0</v>
      </c>
      <c r="O21" s="65">
        <f>+O19*'Reg Proy Inmob'!$C$24</f>
        <v>0</v>
      </c>
      <c r="P21" s="65">
        <f>+P19*'Reg Proy Inmob'!$C$24</f>
        <v>0</v>
      </c>
      <c r="Q21" s="65">
        <f>+Q19*'Reg Proy Inmob'!$C$24</f>
        <v>0</v>
      </c>
      <c r="R21" s="65">
        <f>+R19*'Reg Proy Inmob'!$C$24</f>
        <v>0</v>
      </c>
      <c r="S21" s="65">
        <f>+S19*'Reg Proy Inmob'!$C$24</f>
        <v>0</v>
      </c>
      <c r="T21" s="65">
        <f>+T19*'Reg Proy Inmob'!$C$24</f>
        <v>0</v>
      </c>
      <c r="U21" s="65">
        <f>+U19*'Reg Proy Inmob'!$C$24</f>
        <v>0</v>
      </c>
      <c r="V21" s="65">
        <f>+V19*'Reg Proy Inmob'!$C$24</f>
        <v>0</v>
      </c>
      <c r="W21" s="65">
        <f>+W19*'Reg Proy Inmob'!$C$24</f>
        <v>0</v>
      </c>
      <c r="X21" s="65">
        <f>+X19*'Reg Proy Inmob'!$C$24</f>
        <v>0</v>
      </c>
      <c r="Y21" s="65">
        <f>+Y19*'Reg Proy Inmob'!$C$24</f>
        <v>0</v>
      </c>
      <c r="Z21" s="65">
        <f>+Z19*'Reg Proy Inmob'!$C$24</f>
        <v>0</v>
      </c>
      <c r="AA21" s="65">
        <f>+AA19*'Reg Proy Inmob'!$C$24</f>
        <v>0</v>
      </c>
    </row>
    <row r="22" spans="2:27" s="4" customFormat="1" outlineLevel="3">
      <c r="B22" s="21" t="s">
        <v>11</v>
      </c>
      <c r="C22" s="24"/>
      <c r="D22" s="23"/>
      <c r="G22" s="65">
        <f>+G19*'Reg Proy Inmob'!$C$25</f>
        <v>0</v>
      </c>
      <c r="H22" s="65">
        <f>+H19*'Reg Proy Inmob'!$C$25</f>
        <v>0</v>
      </c>
      <c r="I22" s="65">
        <f>+I19*'Reg Proy Inmob'!$C$25</f>
        <v>0</v>
      </c>
      <c r="J22" s="65">
        <f>+J19*'Reg Proy Inmob'!$C$25</f>
        <v>0</v>
      </c>
      <c r="K22" s="65">
        <f>+K19*'Reg Proy Inmob'!$C$25</f>
        <v>0</v>
      </c>
      <c r="L22" s="65">
        <f>+L19*'Reg Proy Inmob'!$C$25</f>
        <v>0</v>
      </c>
      <c r="M22" s="65">
        <f>+M19*'Reg Proy Inmob'!$C$25</f>
        <v>0</v>
      </c>
      <c r="N22" s="65">
        <f>+N19*'Reg Proy Inmob'!$C$25</f>
        <v>0</v>
      </c>
      <c r="O22" s="65">
        <f>+O19*'Reg Proy Inmob'!$C$25</f>
        <v>0</v>
      </c>
      <c r="P22" s="65">
        <f>+P19*'Reg Proy Inmob'!$C$25</f>
        <v>0</v>
      </c>
      <c r="Q22" s="65">
        <f>+Q19*'Reg Proy Inmob'!$C$25</f>
        <v>0</v>
      </c>
      <c r="R22" s="65">
        <f>+R19*'Reg Proy Inmob'!$C$25</f>
        <v>0</v>
      </c>
      <c r="S22" s="65">
        <f>+S19*'Reg Proy Inmob'!$C$25</f>
        <v>0</v>
      </c>
      <c r="T22" s="65">
        <f>+T19*'Reg Proy Inmob'!$C$25</f>
        <v>0</v>
      </c>
      <c r="U22" s="65">
        <f>+U19*'Reg Proy Inmob'!$C$25</f>
        <v>0</v>
      </c>
      <c r="V22" s="65">
        <f>+V19*'Reg Proy Inmob'!$C$25</f>
        <v>0</v>
      </c>
      <c r="W22" s="65">
        <f>+W19*'Reg Proy Inmob'!$C$25</f>
        <v>0</v>
      </c>
      <c r="X22" s="65">
        <f>+X19*'Reg Proy Inmob'!$C$25</f>
        <v>0</v>
      </c>
      <c r="Y22" s="65">
        <f>+Y19*'Reg Proy Inmob'!$C$25</f>
        <v>0</v>
      </c>
      <c r="Z22" s="65">
        <f>+Z19*'Reg Proy Inmob'!$C$25</f>
        <v>0</v>
      </c>
      <c r="AA22" s="65">
        <f>+AA19*'Reg Proy Inmob'!$C$25</f>
        <v>0</v>
      </c>
    </row>
    <row r="23" spans="2:27" s="4" customFormat="1" outlineLevel="3">
      <c r="B23" s="21" t="s">
        <v>6</v>
      </c>
      <c r="C23" s="24"/>
      <c r="G23" s="65">
        <f>+G19*'Reg Proy Inmob'!$C$27</f>
        <v>0</v>
      </c>
      <c r="H23" s="65">
        <f>+H19*'Reg Proy Inmob'!$C$27</f>
        <v>0</v>
      </c>
      <c r="I23" s="65">
        <f>+I19*'Reg Proy Inmob'!$C$27</f>
        <v>0</v>
      </c>
      <c r="J23" s="65">
        <f>+J19*'Reg Proy Inmob'!$C$27</f>
        <v>0</v>
      </c>
      <c r="K23" s="65">
        <f>+K19*'Reg Proy Inmob'!$C$27</f>
        <v>0</v>
      </c>
      <c r="L23" s="65">
        <f>+L19*'Reg Proy Inmob'!$C$27</f>
        <v>0</v>
      </c>
      <c r="M23" s="65">
        <f>+M19*'Reg Proy Inmob'!$C$27</f>
        <v>0</v>
      </c>
      <c r="N23" s="65">
        <f>+N19*'Reg Proy Inmob'!$C$27</f>
        <v>0</v>
      </c>
      <c r="O23" s="65">
        <f>+O19*'Reg Proy Inmob'!$C$27</f>
        <v>0</v>
      </c>
      <c r="P23" s="65">
        <f>+P19*'Reg Proy Inmob'!$C$27</f>
        <v>0</v>
      </c>
      <c r="Q23" s="65">
        <f>+Q19*'Reg Proy Inmob'!$C$27</f>
        <v>0</v>
      </c>
      <c r="R23" s="65">
        <f>+R19*'Reg Proy Inmob'!$C$27</f>
        <v>0</v>
      </c>
      <c r="S23" s="65">
        <f>+S19*'Reg Proy Inmob'!$C$27</f>
        <v>0</v>
      </c>
      <c r="T23" s="65">
        <f>+T19*'Reg Proy Inmob'!$C$27</f>
        <v>0</v>
      </c>
      <c r="U23" s="65">
        <f>+U19*'Reg Proy Inmob'!$C$27</f>
        <v>0</v>
      </c>
      <c r="V23" s="65">
        <f>+V19*'Reg Proy Inmob'!$C$27</f>
        <v>0</v>
      </c>
      <c r="W23" s="65">
        <f>+W19*'Reg Proy Inmob'!$C$27</f>
        <v>0</v>
      </c>
      <c r="X23" s="65">
        <f>+X19*'Reg Proy Inmob'!$C$27</f>
        <v>0</v>
      </c>
      <c r="Y23" s="65">
        <f>+Y19*'Reg Proy Inmob'!$C$27</f>
        <v>0</v>
      </c>
      <c r="Z23" s="65">
        <f>+Z19*'Reg Proy Inmob'!$C$27</f>
        <v>0</v>
      </c>
      <c r="AA23" s="65">
        <f>+AA19*'Reg Proy Inmob'!$C$27</f>
        <v>0</v>
      </c>
    </row>
    <row r="24" spans="2:27" s="4" customFormat="1" outlineLevel="3">
      <c r="B24" s="21" t="s">
        <v>222</v>
      </c>
      <c r="C24" s="24"/>
      <c r="D24" s="23"/>
      <c r="G24" s="65">
        <f>+G19*'Reg Proy Inmob'!$C$29</f>
        <v>5146.5532969044971</v>
      </c>
      <c r="H24" s="65">
        <f>+H19*'Reg Proy Inmob'!$C$29</f>
        <v>7773.0755126181803</v>
      </c>
      <c r="I24" s="65">
        <f>+I19*'Reg Proy Inmob'!$C$29</f>
        <v>7773.0755126181803</v>
      </c>
      <c r="J24" s="65">
        <f>+J19*'Reg Proy Inmob'!$C$29</f>
        <v>7773.0755126181803</v>
      </c>
      <c r="K24" s="65">
        <f>+K19*'Reg Proy Inmob'!$C$29</f>
        <v>7773.0755126181803</v>
      </c>
      <c r="L24" s="65">
        <f>+L19*'Reg Proy Inmob'!$C$29</f>
        <v>7773.0755126181803</v>
      </c>
      <c r="M24" s="65">
        <f>+M19*'Reg Proy Inmob'!$C$29</f>
        <v>7773.0755126181803</v>
      </c>
      <c r="N24" s="65">
        <f>+N19*'Reg Proy Inmob'!$C$29</f>
        <v>7773.0755126181803</v>
      </c>
      <c r="O24" s="65">
        <f>+O19*'Reg Proy Inmob'!$C$29</f>
        <v>7773.0755126181803</v>
      </c>
      <c r="P24" s="65">
        <f>+P19*'Reg Proy Inmob'!$C$29</f>
        <v>7773.0755126181803</v>
      </c>
      <c r="Q24" s="65">
        <f>+Q19*'Reg Proy Inmob'!$C$29</f>
        <v>7773.0755126181803</v>
      </c>
      <c r="R24" s="65">
        <f>+R19*'Reg Proy Inmob'!$C$29</f>
        <v>7773.0755126181803</v>
      </c>
      <c r="S24" s="65">
        <f>+S19*'Reg Proy Inmob'!$C$29</f>
        <v>7773.0755126181803</v>
      </c>
      <c r="T24" s="65">
        <f>+T19*'Reg Proy Inmob'!$C$29</f>
        <v>7773.0755126181803</v>
      </c>
      <c r="U24" s="65">
        <f>+U19*'Reg Proy Inmob'!$C$29</f>
        <v>7773.0755126181803</v>
      </c>
      <c r="V24" s="65">
        <f>+V19*'Reg Proy Inmob'!$C$29</f>
        <v>7773.0755126181803</v>
      </c>
      <c r="W24" s="65">
        <f>+W19*'Reg Proy Inmob'!$C$29</f>
        <v>7773.0755126181803</v>
      </c>
      <c r="X24" s="65">
        <f>+X19*'Reg Proy Inmob'!$C$29</f>
        <v>7773.0755126181803</v>
      </c>
      <c r="Y24" s="65">
        <f>+Y19*'Reg Proy Inmob'!$C$29</f>
        <v>7773.0755126181803</v>
      </c>
      <c r="Z24" s="65">
        <f>+Z19*'Reg Proy Inmob'!$C$29</f>
        <v>7773.0755126181803</v>
      </c>
      <c r="AA24" s="65">
        <f>+AA19*'Reg Proy Inmob'!$C$29</f>
        <v>7773.0755126181803</v>
      </c>
    </row>
    <row r="25" spans="2:27" s="4" customFormat="1" ht="34" outlineLevel="3">
      <c r="B25" s="25" t="s">
        <v>56</v>
      </c>
      <c r="C25" s="24" t="s">
        <v>57</v>
      </c>
      <c r="G25" s="65">
        <f>+G19*'Reg Proy Inmob'!$C$26</f>
        <v>1495.8187142330519</v>
      </c>
      <c r="H25" s="65">
        <f>+H19*'Reg Proy Inmob'!$C$26</f>
        <v>2259.2036161199999</v>
      </c>
      <c r="I25" s="65">
        <f>+I19*'Reg Proy Inmob'!$C$26</f>
        <v>2259.2036161199999</v>
      </c>
      <c r="J25" s="65">
        <f>+J19*'Reg Proy Inmob'!$C$26</f>
        <v>2259.2036161199999</v>
      </c>
      <c r="K25" s="65">
        <f>+K19*'Reg Proy Inmob'!$C$26</f>
        <v>2259.2036161199999</v>
      </c>
      <c r="L25" s="65">
        <f>+L19*'Reg Proy Inmob'!$C$26</f>
        <v>2259.2036161199999</v>
      </c>
      <c r="M25" s="65">
        <f>+M19*'Reg Proy Inmob'!$C$26</f>
        <v>2259.2036161199999</v>
      </c>
      <c r="N25" s="65">
        <f>+N19*'Reg Proy Inmob'!$C$26</f>
        <v>2259.2036161199999</v>
      </c>
      <c r="O25" s="65">
        <f>+O19*'Reg Proy Inmob'!$C$26</f>
        <v>2259.2036161199999</v>
      </c>
      <c r="P25" s="65">
        <f>+P19*'Reg Proy Inmob'!$C$26</f>
        <v>2259.2036161199999</v>
      </c>
      <c r="Q25" s="65">
        <f>+Q19*'Reg Proy Inmob'!$C$26</f>
        <v>2259.2036161199999</v>
      </c>
      <c r="R25" s="65">
        <f>+R19*'Reg Proy Inmob'!$C$26</f>
        <v>2259.2036161199999</v>
      </c>
      <c r="S25" s="65">
        <f>+S19*'Reg Proy Inmob'!$C$26</f>
        <v>2259.2036161199999</v>
      </c>
      <c r="T25" s="65">
        <f>+T19*'Reg Proy Inmob'!$C$26</f>
        <v>2259.2036161199999</v>
      </c>
      <c r="U25" s="65">
        <f>+U19*'Reg Proy Inmob'!$C$26</f>
        <v>2259.2036161199999</v>
      </c>
      <c r="V25" s="65">
        <f>+V19*'Reg Proy Inmob'!$C$26</f>
        <v>2259.2036161199999</v>
      </c>
      <c r="W25" s="65">
        <f>+W19*'Reg Proy Inmob'!$C$26</f>
        <v>2259.2036161199999</v>
      </c>
      <c r="X25" s="65">
        <f>+X19*'Reg Proy Inmob'!$C$26</f>
        <v>2259.2036161199999</v>
      </c>
      <c r="Y25" s="65">
        <f>+Y19*'Reg Proy Inmob'!$C$26</f>
        <v>2259.2036161199999</v>
      </c>
      <c r="Z25" s="65">
        <f>+Z19*'Reg Proy Inmob'!$C$26</f>
        <v>2259.2036161199999</v>
      </c>
      <c r="AA25" s="65">
        <f>+AA19*'Reg Proy Inmob'!$C$26</f>
        <v>2259.2036161199999</v>
      </c>
    </row>
    <row r="26" spans="2:27" s="4" customFormat="1" ht="17" outlineLevel="2">
      <c r="B26" s="22" t="s">
        <v>59</v>
      </c>
      <c r="C26" s="24"/>
      <c r="G26" s="65">
        <f>+G27+G28</f>
        <v>4094.049276194497</v>
      </c>
      <c r="H26" s="65">
        <f>+H27+H28</f>
        <v>6183.4304126181805</v>
      </c>
      <c r="I26" s="65">
        <f t="shared" ref="I26:AA26" si="6">+I27+I28</f>
        <v>6183.4304126181805</v>
      </c>
      <c r="J26" s="65">
        <f t="shared" si="6"/>
        <v>6183.4304126181805</v>
      </c>
      <c r="K26" s="65">
        <f t="shared" si="6"/>
        <v>6183.4304126181805</v>
      </c>
      <c r="L26" s="65">
        <f t="shared" si="6"/>
        <v>6183.4304126181805</v>
      </c>
      <c r="M26" s="65">
        <f t="shared" si="6"/>
        <v>6183.4304126181805</v>
      </c>
      <c r="N26" s="65">
        <f t="shared" si="6"/>
        <v>6183.4304126181805</v>
      </c>
      <c r="O26" s="65">
        <f t="shared" si="6"/>
        <v>6183.4304126181805</v>
      </c>
      <c r="P26" s="65">
        <f t="shared" si="6"/>
        <v>6183.4304126181805</v>
      </c>
      <c r="Q26" s="65">
        <f t="shared" si="6"/>
        <v>6183.4304126181805</v>
      </c>
      <c r="R26" s="65">
        <f t="shared" si="6"/>
        <v>6183.4304126181805</v>
      </c>
      <c r="S26" s="65">
        <f t="shared" si="6"/>
        <v>6183.4304126181805</v>
      </c>
      <c r="T26" s="65">
        <f t="shared" si="6"/>
        <v>6183.4304126181805</v>
      </c>
      <c r="U26" s="65">
        <f t="shared" si="6"/>
        <v>6183.4304126181805</v>
      </c>
      <c r="V26" s="65">
        <f t="shared" si="6"/>
        <v>6183.4304126181805</v>
      </c>
      <c r="W26" s="65">
        <f t="shared" si="6"/>
        <v>6183.4304126181805</v>
      </c>
      <c r="X26" s="65">
        <f t="shared" si="6"/>
        <v>6183.4304126181805</v>
      </c>
      <c r="Y26" s="65">
        <f t="shared" si="6"/>
        <v>6183.4304126181805</v>
      </c>
      <c r="Z26" s="65">
        <f t="shared" si="6"/>
        <v>6183.4304126181805</v>
      </c>
      <c r="AA26" s="65">
        <f t="shared" si="6"/>
        <v>6183.4304126181805</v>
      </c>
    </row>
    <row r="27" spans="2:27" s="4" customFormat="1" ht="17" outlineLevel="3">
      <c r="B27" s="25" t="s">
        <v>6</v>
      </c>
      <c r="C27" s="24"/>
      <c r="G27" s="65">
        <f>+G19*'Reg Proy Inmob'!$C$28</f>
        <v>0</v>
      </c>
      <c r="H27" s="65">
        <f>+H19*'Reg Proy Inmob'!$C$28</f>
        <v>0</v>
      </c>
      <c r="I27" s="65">
        <f>+I19*'Reg Proy Inmob'!$C$28</f>
        <v>0</v>
      </c>
      <c r="J27" s="65">
        <f>+J19*'Reg Proy Inmob'!$C$28</f>
        <v>0</v>
      </c>
      <c r="K27" s="65">
        <f>+K19*'Reg Proy Inmob'!$C$28</f>
        <v>0</v>
      </c>
      <c r="L27" s="65">
        <f>+L19*'Reg Proy Inmob'!$C$28</f>
        <v>0</v>
      </c>
      <c r="M27" s="65">
        <f>+M19*'Reg Proy Inmob'!$C$28</f>
        <v>0</v>
      </c>
      <c r="N27" s="65">
        <f>+N19*'Reg Proy Inmob'!$C$28</f>
        <v>0</v>
      </c>
      <c r="O27" s="65">
        <f>+O19*'Reg Proy Inmob'!$C$28</f>
        <v>0</v>
      </c>
      <c r="P27" s="65">
        <f>+P19*'Reg Proy Inmob'!$C$28</f>
        <v>0</v>
      </c>
      <c r="Q27" s="65">
        <f>+Q19*'Reg Proy Inmob'!$C$28</f>
        <v>0</v>
      </c>
      <c r="R27" s="65">
        <f>+R19*'Reg Proy Inmob'!$C$28</f>
        <v>0</v>
      </c>
      <c r="S27" s="65">
        <f>+S19*'Reg Proy Inmob'!$C$28</f>
        <v>0</v>
      </c>
      <c r="T27" s="65">
        <f>+T19*'Reg Proy Inmob'!$C$28</f>
        <v>0</v>
      </c>
      <c r="U27" s="65">
        <f>+U19*'Reg Proy Inmob'!$C$28</f>
        <v>0</v>
      </c>
      <c r="V27" s="65">
        <f>+V19*'Reg Proy Inmob'!$C$28</f>
        <v>0</v>
      </c>
      <c r="W27" s="65">
        <f>+W19*'Reg Proy Inmob'!$C$28</f>
        <v>0</v>
      </c>
      <c r="X27" s="65">
        <f>+X19*'Reg Proy Inmob'!$C$28</f>
        <v>0</v>
      </c>
      <c r="Y27" s="65">
        <f>+Y19*'Reg Proy Inmob'!$C$28</f>
        <v>0</v>
      </c>
      <c r="Z27" s="65">
        <f>+Z19*'Reg Proy Inmob'!$C$28</f>
        <v>0</v>
      </c>
      <c r="AA27" s="65">
        <f>+AA19*'Reg Proy Inmob'!$C$28</f>
        <v>0</v>
      </c>
    </row>
    <row r="28" spans="2:27" s="4" customFormat="1" ht="17" outlineLevel="3">
      <c r="B28" s="25" t="s">
        <v>222</v>
      </c>
      <c r="C28" s="79"/>
      <c r="G28" s="65">
        <f>+G19*'Reg Proy Inmob'!$C$30</f>
        <v>4094.049276194497</v>
      </c>
      <c r="H28" s="65">
        <f>+H19*'Reg Proy Inmob'!$C$30</f>
        <v>6183.4304126181805</v>
      </c>
      <c r="I28" s="65">
        <f>+I19*'Reg Proy Inmob'!$C$30</f>
        <v>6183.4304126181805</v>
      </c>
      <c r="J28" s="65">
        <f>+J19*'Reg Proy Inmob'!$C$30</f>
        <v>6183.4304126181805</v>
      </c>
      <c r="K28" s="65">
        <f>+K19*'Reg Proy Inmob'!$C$30</f>
        <v>6183.4304126181805</v>
      </c>
      <c r="L28" s="65">
        <f>+L19*'Reg Proy Inmob'!$C$30</f>
        <v>6183.4304126181805</v>
      </c>
      <c r="M28" s="65">
        <f>+M19*'Reg Proy Inmob'!$C$30</f>
        <v>6183.4304126181805</v>
      </c>
      <c r="N28" s="65">
        <f>+N19*'Reg Proy Inmob'!$C$30</f>
        <v>6183.4304126181805</v>
      </c>
      <c r="O28" s="65">
        <f>+O19*'Reg Proy Inmob'!$C$30</f>
        <v>6183.4304126181805</v>
      </c>
      <c r="P28" s="65">
        <f>+P19*'Reg Proy Inmob'!$C$30</f>
        <v>6183.4304126181805</v>
      </c>
      <c r="Q28" s="65">
        <f>+Q19*'Reg Proy Inmob'!$C$30</f>
        <v>6183.4304126181805</v>
      </c>
      <c r="R28" s="65">
        <f>+R19*'Reg Proy Inmob'!$C$30</f>
        <v>6183.4304126181805</v>
      </c>
      <c r="S28" s="65">
        <f>+S19*'Reg Proy Inmob'!$C$30</f>
        <v>6183.4304126181805</v>
      </c>
      <c r="T28" s="65">
        <f>+T19*'Reg Proy Inmob'!$C$30</f>
        <v>6183.4304126181805</v>
      </c>
      <c r="U28" s="65">
        <f>+U19*'Reg Proy Inmob'!$C$30</f>
        <v>6183.4304126181805</v>
      </c>
      <c r="V28" s="65">
        <f>+V19*'Reg Proy Inmob'!$C$30</f>
        <v>6183.4304126181805</v>
      </c>
      <c r="W28" s="65">
        <f>+W19*'Reg Proy Inmob'!$C$30</f>
        <v>6183.4304126181805</v>
      </c>
      <c r="X28" s="65">
        <f>+X19*'Reg Proy Inmob'!$C$30</f>
        <v>6183.4304126181805</v>
      </c>
      <c r="Y28" s="65">
        <f>+Y19*'Reg Proy Inmob'!$C$30</f>
        <v>6183.4304126181805</v>
      </c>
      <c r="Z28" s="65">
        <f>+Z19*'Reg Proy Inmob'!$C$30</f>
        <v>6183.4304126181805</v>
      </c>
      <c r="AA28" s="65">
        <f>+AA19*'Reg Proy Inmob'!$C$30</f>
        <v>6183.4304126181805</v>
      </c>
    </row>
    <row r="29" spans="2:27" s="4" customFormat="1" ht="17" outlineLevel="2">
      <c r="B29" s="22" t="s">
        <v>60</v>
      </c>
      <c r="C29" s="24"/>
      <c r="G29" s="65">
        <f t="shared" ref="G29:AA29" si="7">-G30+G31+G32+G33+G34+G35+G36+G37</f>
        <v>0</v>
      </c>
      <c r="H29" s="65">
        <f t="shared" si="7"/>
        <v>5344.7027170000001</v>
      </c>
      <c r="I29" s="65">
        <f t="shared" si="7"/>
        <v>3680.0816249999998</v>
      </c>
      <c r="J29" s="65">
        <f t="shared" si="7"/>
        <v>1195.1963241199996</v>
      </c>
      <c r="K29" s="65">
        <f t="shared" si="7"/>
        <v>0</v>
      </c>
      <c r="L29" s="65">
        <f t="shared" si="7"/>
        <v>0</v>
      </c>
      <c r="M29" s="65">
        <f t="shared" si="7"/>
        <v>0</v>
      </c>
      <c r="N29" s="65">
        <f t="shared" si="7"/>
        <v>0</v>
      </c>
      <c r="O29" s="65">
        <f t="shared" si="7"/>
        <v>0</v>
      </c>
      <c r="P29" s="65">
        <f t="shared" si="7"/>
        <v>0</v>
      </c>
      <c r="Q29" s="65">
        <f t="shared" si="7"/>
        <v>0</v>
      </c>
      <c r="R29" s="65">
        <f t="shared" si="7"/>
        <v>0</v>
      </c>
      <c r="S29" s="65">
        <f t="shared" si="7"/>
        <v>0</v>
      </c>
      <c r="T29" s="65">
        <f t="shared" si="7"/>
        <v>0</v>
      </c>
      <c r="U29" s="65">
        <f t="shared" si="7"/>
        <v>0</v>
      </c>
      <c r="V29" s="65">
        <f t="shared" si="7"/>
        <v>0</v>
      </c>
      <c r="W29" s="65">
        <f t="shared" si="7"/>
        <v>0</v>
      </c>
      <c r="X29" s="65">
        <f t="shared" si="7"/>
        <v>0</v>
      </c>
      <c r="Y29" s="65">
        <f t="shared" si="7"/>
        <v>0</v>
      </c>
      <c r="Z29" s="65">
        <f t="shared" si="7"/>
        <v>0</v>
      </c>
      <c r="AA29" s="65">
        <f t="shared" si="7"/>
        <v>0</v>
      </c>
    </row>
    <row r="30" spans="2:27" outlineLevel="3">
      <c r="B30" s="21" t="s">
        <v>51</v>
      </c>
      <c r="C30" s="20"/>
      <c r="G30" s="67"/>
      <c r="H30" s="67"/>
      <c r="I30" s="67"/>
      <c r="J30" s="67"/>
      <c r="K30" s="67"/>
      <c r="L30" s="67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38"/>
    </row>
    <row r="31" spans="2:27" outlineLevel="3">
      <c r="B31" s="21" t="s">
        <v>52</v>
      </c>
      <c r="C31" s="20"/>
      <c r="G31" s="67"/>
      <c r="H31" s="67"/>
      <c r="I31" s="67"/>
      <c r="J31" s="67"/>
      <c r="K31" s="67"/>
      <c r="L31" s="67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38"/>
    </row>
    <row r="32" spans="2:27" ht="51" outlineLevel="3">
      <c r="B32" s="25" t="s">
        <v>54</v>
      </c>
      <c r="C32" s="20"/>
      <c r="G32" s="67"/>
      <c r="H32" s="67">
        <v>3824.6306370000002</v>
      </c>
      <c r="I32" s="67">
        <v>2546.5013130000002</v>
      </c>
      <c r="J32" s="67"/>
      <c r="K32" s="67"/>
      <c r="L32" s="67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38"/>
    </row>
    <row r="33" spans="2:27" s="4" customFormat="1" ht="17" outlineLevel="3">
      <c r="B33" s="25" t="s">
        <v>61</v>
      </c>
      <c r="C33" s="78">
        <f>+H33+I33</f>
        <v>1586.2579930000002</v>
      </c>
      <c r="G33" s="67"/>
      <c r="H33" s="67">
        <v>928.18266400000005</v>
      </c>
      <c r="I33" s="67">
        <f>658.075329</f>
        <v>658.07532900000001</v>
      </c>
      <c r="J33" s="67">
        <f>+J24-J28-H33-I33</f>
        <v>3.3871069999996735</v>
      </c>
      <c r="K33" s="67"/>
      <c r="L33" s="67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57"/>
    </row>
    <row r="34" spans="2:27" s="4" customFormat="1" ht="17" outlineLevel="3">
      <c r="B34" s="25" t="s">
        <v>62</v>
      </c>
      <c r="C34" s="24"/>
      <c r="G34" s="67"/>
      <c r="H34" s="67"/>
      <c r="I34" s="67"/>
      <c r="J34" s="67"/>
      <c r="K34" s="67"/>
      <c r="L34" s="67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57"/>
    </row>
    <row r="35" spans="2:27" s="4" customFormat="1" ht="17" outlineLevel="3">
      <c r="B35" s="25" t="s">
        <v>63</v>
      </c>
      <c r="C35" s="24"/>
      <c r="G35" s="67"/>
      <c r="H35" s="67"/>
      <c r="I35" s="67"/>
      <c r="J35" s="67"/>
      <c r="K35" s="67"/>
      <c r="L35" s="67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57"/>
    </row>
    <row r="36" spans="2:27" s="4" customFormat="1" ht="17" outlineLevel="3">
      <c r="B36" s="25" t="s">
        <v>64</v>
      </c>
      <c r="C36" s="24"/>
      <c r="G36" s="67"/>
      <c r="H36" s="67"/>
      <c r="I36" s="67"/>
      <c r="J36" s="67"/>
      <c r="K36" s="67"/>
      <c r="L36" s="67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57"/>
    </row>
    <row r="37" spans="2:27" s="4" customFormat="1" ht="34" outlineLevel="3">
      <c r="B37" s="25" t="s">
        <v>65</v>
      </c>
      <c r="C37" s="24"/>
      <c r="G37" s="67"/>
      <c r="H37" s="67">
        <v>591.88941599999998</v>
      </c>
      <c r="I37" s="67">
        <v>475.50498299999998</v>
      </c>
      <c r="J37" s="67">
        <f>+J25-I37-H37</f>
        <v>1191.8092171199999</v>
      </c>
      <c r="K37" s="67"/>
      <c r="L37" s="67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57"/>
    </row>
    <row r="38" spans="2:27" s="4" customFormat="1" outlineLevel="2">
      <c r="B38" s="25"/>
      <c r="C38" s="24"/>
    </row>
    <row r="39" spans="2:27" outlineLevel="1">
      <c r="B39" s="18" t="s">
        <v>237</v>
      </c>
      <c r="C39" s="20"/>
      <c r="D39" t="s">
        <v>185</v>
      </c>
    </row>
    <row r="40" spans="2:27" outlineLevel="2">
      <c r="B40" s="19" t="s">
        <v>220</v>
      </c>
      <c r="C40" s="20"/>
    </row>
    <row r="41" spans="2:27" ht="34" outlineLevel="3">
      <c r="B41" s="25" t="s">
        <v>58</v>
      </c>
      <c r="C41" s="20"/>
      <c r="G41" s="60">
        <v>140</v>
      </c>
      <c r="H41" s="60">
        <v>202</v>
      </c>
      <c r="I41" s="60">
        <f>+H41</f>
        <v>202</v>
      </c>
      <c r="J41" s="60">
        <f t="shared" ref="J41:AA41" si="8">+I41</f>
        <v>202</v>
      </c>
      <c r="K41" s="60">
        <f t="shared" si="8"/>
        <v>202</v>
      </c>
      <c r="L41" s="60">
        <f t="shared" si="8"/>
        <v>202</v>
      </c>
      <c r="M41" s="60">
        <f t="shared" si="8"/>
        <v>202</v>
      </c>
      <c r="N41" s="60">
        <f t="shared" si="8"/>
        <v>202</v>
      </c>
      <c r="O41" s="60">
        <f t="shared" si="8"/>
        <v>202</v>
      </c>
      <c r="P41" s="60">
        <f t="shared" si="8"/>
        <v>202</v>
      </c>
      <c r="Q41" s="60">
        <f t="shared" si="8"/>
        <v>202</v>
      </c>
      <c r="R41" s="60">
        <f t="shared" si="8"/>
        <v>202</v>
      </c>
      <c r="S41" s="60">
        <f t="shared" si="8"/>
        <v>202</v>
      </c>
      <c r="T41" s="60">
        <f t="shared" si="8"/>
        <v>202</v>
      </c>
      <c r="U41" s="60">
        <f t="shared" si="8"/>
        <v>202</v>
      </c>
      <c r="V41" s="60">
        <f t="shared" si="8"/>
        <v>202</v>
      </c>
      <c r="W41" s="60">
        <f t="shared" si="8"/>
        <v>202</v>
      </c>
      <c r="X41" s="60">
        <f t="shared" si="8"/>
        <v>202</v>
      </c>
      <c r="Y41" s="60">
        <f t="shared" si="8"/>
        <v>202</v>
      </c>
      <c r="Z41" s="60">
        <f t="shared" si="8"/>
        <v>202</v>
      </c>
      <c r="AA41" s="60">
        <f t="shared" si="8"/>
        <v>202</v>
      </c>
    </row>
    <row r="42" spans="2:27" ht="17" outlineLevel="3">
      <c r="B42" s="25" t="s">
        <v>66</v>
      </c>
      <c r="C42" s="20"/>
      <c r="F42" s="2"/>
      <c r="G42" s="61">
        <f>+G43*G41</f>
        <v>17875.2</v>
      </c>
      <c r="H42" s="61">
        <f>+H43*H41</f>
        <v>25791.360000000001</v>
      </c>
      <c r="I42" s="71">
        <f>+H42</f>
        <v>25791.360000000001</v>
      </c>
      <c r="J42" s="71">
        <f t="shared" ref="J42:AA42" si="9">+I42</f>
        <v>25791.360000000001</v>
      </c>
      <c r="K42" s="71">
        <f t="shared" si="9"/>
        <v>25791.360000000001</v>
      </c>
      <c r="L42" s="71">
        <f t="shared" si="9"/>
        <v>25791.360000000001</v>
      </c>
      <c r="M42" s="71">
        <f t="shared" si="9"/>
        <v>25791.360000000001</v>
      </c>
      <c r="N42" s="71">
        <f t="shared" si="9"/>
        <v>25791.360000000001</v>
      </c>
      <c r="O42" s="71">
        <f t="shared" si="9"/>
        <v>25791.360000000001</v>
      </c>
      <c r="P42" s="71">
        <f t="shared" si="9"/>
        <v>25791.360000000001</v>
      </c>
      <c r="Q42" s="71">
        <f t="shared" si="9"/>
        <v>25791.360000000001</v>
      </c>
      <c r="R42" s="71">
        <f t="shared" si="9"/>
        <v>25791.360000000001</v>
      </c>
      <c r="S42" s="71">
        <f t="shared" si="9"/>
        <v>25791.360000000001</v>
      </c>
      <c r="T42" s="71">
        <f t="shared" si="9"/>
        <v>25791.360000000001</v>
      </c>
      <c r="U42" s="71">
        <f t="shared" si="9"/>
        <v>25791.360000000001</v>
      </c>
      <c r="V42" s="71">
        <f t="shared" si="9"/>
        <v>25791.360000000001</v>
      </c>
      <c r="W42" s="71">
        <f t="shared" si="9"/>
        <v>25791.360000000001</v>
      </c>
      <c r="X42" s="71">
        <f t="shared" si="9"/>
        <v>25791.360000000001</v>
      </c>
      <c r="Y42" s="71">
        <f t="shared" si="9"/>
        <v>25791.360000000001</v>
      </c>
      <c r="Z42" s="71">
        <f t="shared" si="9"/>
        <v>25791.360000000001</v>
      </c>
      <c r="AA42" s="71">
        <f t="shared" si="9"/>
        <v>25791.360000000001</v>
      </c>
    </row>
    <row r="43" spans="2:27" ht="17" outlineLevel="3">
      <c r="B43" s="25" t="s">
        <v>67</v>
      </c>
      <c r="C43" s="20"/>
      <c r="F43">
        <f t="shared" ref="F43:AA43" si="10">+IF(ISERROR(F42/F41),0,F42/F41)</f>
        <v>0</v>
      </c>
      <c r="G43" s="26">
        <v>127.68</v>
      </c>
      <c r="H43" s="26">
        <v>127.68</v>
      </c>
      <c r="I43">
        <f t="shared" si="10"/>
        <v>127.68</v>
      </c>
      <c r="J43">
        <f t="shared" si="10"/>
        <v>127.68</v>
      </c>
      <c r="K43">
        <f t="shared" si="10"/>
        <v>127.68</v>
      </c>
      <c r="L43">
        <f t="shared" si="10"/>
        <v>127.68</v>
      </c>
      <c r="M43">
        <f t="shared" si="10"/>
        <v>127.68</v>
      </c>
      <c r="N43">
        <f t="shared" si="10"/>
        <v>127.68</v>
      </c>
      <c r="O43">
        <f t="shared" si="10"/>
        <v>127.68</v>
      </c>
      <c r="P43">
        <f t="shared" si="10"/>
        <v>127.68</v>
      </c>
      <c r="Q43">
        <f t="shared" si="10"/>
        <v>127.68</v>
      </c>
      <c r="R43">
        <f t="shared" si="10"/>
        <v>127.68</v>
      </c>
      <c r="S43">
        <f t="shared" si="10"/>
        <v>127.68</v>
      </c>
      <c r="T43">
        <f t="shared" si="10"/>
        <v>127.68</v>
      </c>
      <c r="U43">
        <f t="shared" si="10"/>
        <v>127.68</v>
      </c>
      <c r="V43">
        <f t="shared" si="10"/>
        <v>127.68</v>
      </c>
      <c r="W43">
        <f t="shared" si="10"/>
        <v>127.68</v>
      </c>
      <c r="X43">
        <f t="shared" si="10"/>
        <v>127.68</v>
      </c>
      <c r="Y43">
        <f t="shared" si="10"/>
        <v>127.68</v>
      </c>
      <c r="Z43">
        <f t="shared" si="10"/>
        <v>127.68</v>
      </c>
      <c r="AA43">
        <f t="shared" si="10"/>
        <v>127.68</v>
      </c>
    </row>
    <row r="44" spans="2:27" ht="17" outlineLevel="2">
      <c r="B44" s="22" t="s">
        <v>216</v>
      </c>
      <c r="C44" s="20"/>
      <c r="G44" s="26"/>
      <c r="H44" s="26"/>
    </row>
    <row r="45" spans="2:27" ht="34" outlineLevel="3">
      <c r="B45" s="25" t="s">
        <v>217</v>
      </c>
      <c r="C45" s="20"/>
      <c r="G45" s="69"/>
      <c r="H45" s="69"/>
      <c r="I45" s="66">
        <v>202</v>
      </c>
      <c r="J45" s="66">
        <v>202</v>
      </c>
      <c r="K45" s="66">
        <v>202</v>
      </c>
      <c r="L45" s="66">
        <v>202</v>
      </c>
      <c r="M45" s="66">
        <v>202</v>
      </c>
      <c r="N45" s="66">
        <v>202</v>
      </c>
      <c r="O45" s="66">
        <v>202</v>
      </c>
      <c r="P45" s="66">
        <v>202</v>
      </c>
      <c r="Q45" s="66">
        <v>202</v>
      </c>
      <c r="R45" s="66">
        <v>202</v>
      </c>
      <c r="S45" s="66">
        <v>202</v>
      </c>
      <c r="T45" s="66">
        <v>202</v>
      </c>
      <c r="U45" s="66">
        <v>202</v>
      </c>
      <c r="V45" s="66">
        <v>202</v>
      </c>
      <c r="W45" s="66">
        <v>202</v>
      </c>
      <c r="X45" s="66">
        <v>202</v>
      </c>
      <c r="Y45" s="66">
        <v>202</v>
      </c>
      <c r="Z45" s="66">
        <v>202</v>
      </c>
      <c r="AA45" s="66">
        <v>202</v>
      </c>
    </row>
    <row r="46" spans="2:27" ht="34" outlineLevel="3">
      <c r="B46" s="25" t="s">
        <v>218</v>
      </c>
      <c r="C46" s="20"/>
      <c r="G46" s="69"/>
      <c r="H46" s="69"/>
      <c r="I46" s="66">
        <f>+H42</f>
        <v>25791.360000000001</v>
      </c>
      <c r="J46" s="66">
        <f t="shared" ref="J46:AA46" si="11">+I42</f>
        <v>25791.360000000001</v>
      </c>
      <c r="K46" s="66">
        <f t="shared" si="11"/>
        <v>25791.360000000001</v>
      </c>
      <c r="L46" s="66">
        <f t="shared" si="11"/>
        <v>25791.360000000001</v>
      </c>
      <c r="M46" s="66">
        <f t="shared" si="11"/>
        <v>25791.360000000001</v>
      </c>
      <c r="N46" s="66">
        <f t="shared" si="11"/>
        <v>25791.360000000001</v>
      </c>
      <c r="O46" s="66">
        <f t="shared" si="11"/>
        <v>25791.360000000001</v>
      </c>
      <c r="P46" s="66">
        <f t="shared" si="11"/>
        <v>25791.360000000001</v>
      </c>
      <c r="Q46" s="66">
        <f t="shared" si="11"/>
        <v>25791.360000000001</v>
      </c>
      <c r="R46" s="66">
        <f t="shared" si="11"/>
        <v>25791.360000000001</v>
      </c>
      <c r="S46" s="66">
        <f t="shared" si="11"/>
        <v>25791.360000000001</v>
      </c>
      <c r="T46" s="66">
        <f t="shared" si="11"/>
        <v>25791.360000000001</v>
      </c>
      <c r="U46" s="66">
        <f t="shared" si="11"/>
        <v>25791.360000000001</v>
      </c>
      <c r="V46" s="66">
        <f t="shared" si="11"/>
        <v>25791.360000000001</v>
      </c>
      <c r="W46" s="66">
        <f t="shared" si="11"/>
        <v>25791.360000000001</v>
      </c>
      <c r="X46" s="66">
        <f t="shared" si="11"/>
        <v>25791.360000000001</v>
      </c>
      <c r="Y46" s="66">
        <f t="shared" si="11"/>
        <v>25791.360000000001</v>
      </c>
      <c r="Z46" s="66">
        <f t="shared" si="11"/>
        <v>25791.360000000001</v>
      </c>
      <c r="AA46" s="66">
        <f t="shared" si="11"/>
        <v>25791.360000000001</v>
      </c>
    </row>
    <row r="47" spans="2:27" ht="17" outlineLevel="3">
      <c r="B47" s="25" t="s">
        <v>219</v>
      </c>
      <c r="C47" s="20"/>
      <c r="G47" s="26">
        <f>+IF(ISERROR(G46/G45),0,G46/G45)</f>
        <v>0</v>
      </c>
      <c r="H47" s="26">
        <f>+IF(ISERROR(H46/H45),0,H46/H45)</f>
        <v>0</v>
      </c>
      <c r="I47" s="26">
        <f>+IF(ISERROR(I46/I45),0,I46/I45)</f>
        <v>127.68</v>
      </c>
      <c r="J47" s="26">
        <f t="shared" ref="J47:AA47" si="12">+IF(ISERROR(J46/J45),0,J46/J45)</f>
        <v>127.68</v>
      </c>
      <c r="K47" s="26">
        <f t="shared" si="12"/>
        <v>127.68</v>
      </c>
      <c r="L47" s="26">
        <f t="shared" si="12"/>
        <v>127.68</v>
      </c>
      <c r="M47" s="26">
        <f t="shared" si="12"/>
        <v>127.68</v>
      </c>
      <c r="N47" s="26">
        <f t="shared" si="12"/>
        <v>127.68</v>
      </c>
      <c r="O47" s="26">
        <f t="shared" si="12"/>
        <v>127.68</v>
      </c>
      <c r="P47" s="26">
        <f t="shared" si="12"/>
        <v>127.68</v>
      </c>
      <c r="Q47" s="26">
        <f t="shared" si="12"/>
        <v>127.68</v>
      </c>
      <c r="R47" s="26">
        <f t="shared" si="12"/>
        <v>127.68</v>
      </c>
      <c r="S47" s="26">
        <f t="shared" si="12"/>
        <v>127.68</v>
      </c>
      <c r="T47" s="26">
        <f t="shared" si="12"/>
        <v>127.68</v>
      </c>
      <c r="U47" s="26">
        <f t="shared" si="12"/>
        <v>127.68</v>
      </c>
      <c r="V47" s="26">
        <f t="shared" si="12"/>
        <v>127.68</v>
      </c>
      <c r="W47" s="26">
        <f t="shared" si="12"/>
        <v>127.68</v>
      </c>
      <c r="X47" s="26">
        <f t="shared" si="12"/>
        <v>127.68</v>
      </c>
      <c r="Y47" s="26">
        <f t="shared" si="12"/>
        <v>127.68</v>
      </c>
      <c r="Z47" s="26">
        <f t="shared" si="12"/>
        <v>127.68</v>
      </c>
      <c r="AA47" s="26">
        <f t="shared" si="12"/>
        <v>127.68</v>
      </c>
    </row>
    <row r="48" spans="2:27" ht="17" outlineLevel="2">
      <c r="B48" s="22" t="s">
        <v>68</v>
      </c>
      <c r="C48" s="20"/>
    </row>
    <row r="49" spans="2:27" ht="34" outlineLevel="2">
      <c r="B49" s="22" t="s">
        <v>221</v>
      </c>
      <c r="C49" s="20" t="s">
        <v>53</v>
      </c>
      <c r="D49" s="1">
        <v>0.11</v>
      </c>
      <c r="F49">
        <v>0</v>
      </c>
      <c r="G49" s="60">
        <v>0</v>
      </c>
      <c r="H49" s="60">
        <v>0</v>
      </c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</row>
    <row r="50" spans="2:27" outlineLevel="2">
      <c r="B50" s="19" t="s">
        <v>55</v>
      </c>
      <c r="C50" s="20"/>
      <c r="F50" s="13"/>
      <c r="G50" s="70"/>
      <c r="H50" s="70">
        <v>0.55000000000000004</v>
      </c>
      <c r="I50" s="70">
        <v>1</v>
      </c>
      <c r="J50" s="70">
        <v>1</v>
      </c>
      <c r="K50" s="70">
        <v>1</v>
      </c>
      <c r="L50" s="70">
        <v>1</v>
      </c>
      <c r="M50" s="70">
        <v>1</v>
      </c>
      <c r="N50" s="70">
        <v>1</v>
      </c>
      <c r="O50" s="70">
        <v>1</v>
      </c>
      <c r="P50" s="70">
        <v>1</v>
      </c>
      <c r="Q50" s="70">
        <v>1</v>
      </c>
      <c r="R50" s="70">
        <v>1</v>
      </c>
      <c r="S50" s="70">
        <v>1</v>
      </c>
      <c r="T50" s="70">
        <v>1</v>
      </c>
      <c r="U50" s="70">
        <v>1</v>
      </c>
      <c r="V50" s="70">
        <v>1</v>
      </c>
      <c r="W50" s="70">
        <v>1</v>
      </c>
      <c r="X50" s="70">
        <v>1</v>
      </c>
      <c r="Y50" s="70">
        <v>1</v>
      </c>
      <c r="Z50" s="70">
        <v>1</v>
      </c>
      <c r="AA50" s="70">
        <v>1</v>
      </c>
    </row>
    <row r="51" spans="2:27" outlineLevel="2">
      <c r="B51" s="19" t="s">
        <v>224</v>
      </c>
      <c r="C51" s="20"/>
      <c r="F51" s="13"/>
      <c r="G51" s="64">
        <f t="shared" ref="G51:L51" si="13">+G50*G42</f>
        <v>0</v>
      </c>
      <c r="H51" s="64">
        <f t="shared" si="13"/>
        <v>14185.248000000001</v>
      </c>
      <c r="I51" s="64">
        <f t="shared" si="13"/>
        <v>25791.360000000001</v>
      </c>
      <c r="J51" s="64">
        <f t="shared" si="13"/>
        <v>25791.360000000001</v>
      </c>
      <c r="K51" s="64">
        <f t="shared" si="13"/>
        <v>25791.360000000001</v>
      </c>
      <c r="L51" s="64">
        <f t="shared" si="13"/>
        <v>25791.360000000001</v>
      </c>
      <c r="M51" s="64">
        <f t="shared" ref="M51:AA51" si="14">+M50*M42</f>
        <v>25791.360000000001</v>
      </c>
      <c r="N51" s="64">
        <f t="shared" si="14"/>
        <v>25791.360000000001</v>
      </c>
      <c r="O51" s="64">
        <f t="shared" si="14"/>
        <v>25791.360000000001</v>
      </c>
      <c r="P51" s="64">
        <f t="shared" si="14"/>
        <v>25791.360000000001</v>
      </c>
      <c r="Q51" s="64">
        <f t="shared" si="14"/>
        <v>25791.360000000001</v>
      </c>
      <c r="R51" s="64">
        <f t="shared" si="14"/>
        <v>25791.360000000001</v>
      </c>
      <c r="S51" s="64">
        <f t="shared" si="14"/>
        <v>25791.360000000001</v>
      </c>
      <c r="T51" s="64">
        <f t="shared" si="14"/>
        <v>25791.360000000001</v>
      </c>
      <c r="U51" s="64">
        <f t="shared" si="14"/>
        <v>25791.360000000001</v>
      </c>
      <c r="V51" s="64">
        <f t="shared" si="14"/>
        <v>25791.360000000001</v>
      </c>
      <c r="W51" s="64">
        <f t="shared" si="14"/>
        <v>25791.360000000001</v>
      </c>
      <c r="X51" s="64">
        <f t="shared" si="14"/>
        <v>25791.360000000001</v>
      </c>
      <c r="Y51" s="64">
        <f t="shared" si="14"/>
        <v>25791.360000000001</v>
      </c>
      <c r="Z51" s="64">
        <f t="shared" si="14"/>
        <v>25791.360000000001</v>
      </c>
      <c r="AA51" s="64">
        <f t="shared" si="14"/>
        <v>25791.360000000001</v>
      </c>
    </row>
    <row r="52" spans="2:27" outlineLevel="2">
      <c r="B52" s="19" t="s">
        <v>225</v>
      </c>
      <c r="C52" s="20"/>
      <c r="G52" s="65">
        <f>+G53+G54+G55+G56+G57</f>
        <v>0</v>
      </c>
      <c r="H52" s="65">
        <f>+H53+H54+H55+H56+H57</f>
        <v>2249.6062411200005</v>
      </c>
      <c r="I52" s="65">
        <f>+I53+I54+I55+I56+I57</f>
        <v>4090.1931656727274</v>
      </c>
      <c r="J52" s="65">
        <f>+J53+J54+J55+J56+J57</f>
        <v>4299.6893489454542</v>
      </c>
      <c r="K52" s="65">
        <f>+K53+K54+K55+K56+K57</f>
        <v>4299.6893489454542</v>
      </c>
      <c r="L52" s="65">
        <f t="shared" ref="L52:AA52" si="15">+L53+L54+L55+L56+L57</f>
        <v>4299.6893489454542</v>
      </c>
      <c r="M52" s="65">
        <f t="shared" si="15"/>
        <v>4299.6893489454542</v>
      </c>
      <c r="N52" s="65">
        <f t="shared" si="15"/>
        <v>4299.6893489454542</v>
      </c>
      <c r="O52" s="65">
        <f t="shared" si="15"/>
        <v>4299.6893489454542</v>
      </c>
      <c r="P52" s="65">
        <f t="shared" si="15"/>
        <v>4299.6893489454542</v>
      </c>
      <c r="Q52" s="65">
        <f t="shared" si="15"/>
        <v>4299.6893489454542</v>
      </c>
      <c r="R52" s="65">
        <f t="shared" si="15"/>
        <v>4299.6893489454542</v>
      </c>
      <c r="S52" s="65">
        <f t="shared" si="15"/>
        <v>4299.6893489454542</v>
      </c>
      <c r="T52" s="65">
        <f t="shared" si="15"/>
        <v>4299.6893489454542</v>
      </c>
      <c r="U52" s="65">
        <f t="shared" si="15"/>
        <v>4299.6893489454542</v>
      </c>
      <c r="V52" s="65">
        <f t="shared" si="15"/>
        <v>4299.6893489454542</v>
      </c>
      <c r="W52" s="65">
        <f t="shared" si="15"/>
        <v>4299.6893489454542</v>
      </c>
      <c r="X52" s="65">
        <f t="shared" si="15"/>
        <v>4299.6893489454542</v>
      </c>
      <c r="Y52" s="65">
        <f t="shared" si="15"/>
        <v>4299.6893489454542</v>
      </c>
      <c r="Z52" s="65">
        <f t="shared" si="15"/>
        <v>4299.6893489454542</v>
      </c>
      <c r="AA52" s="65">
        <f t="shared" si="15"/>
        <v>4299.6893489454542</v>
      </c>
    </row>
    <row r="53" spans="2:27" s="4" customFormat="1" outlineLevel="3">
      <c r="B53" s="21" t="s">
        <v>7</v>
      </c>
      <c r="C53" s="21"/>
      <c r="D53" s="23"/>
      <c r="G53" s="65">
        <f>+G51*'Reg Proy Inmob'!$C49</f>
        <v>0</v>
      </c>
      <c r="H53" s="65">
        <f>+H51*'Reg Proy Inmob'!$C49</f>
        <v>0</v>
      </c>
      <c r="I53" s="65">
        <f>+I51*'Reg Proy Inmob'!$C49</f>
        <v>0</v>
      </c>
      <c r="J53" s="65">
        <f>+J51*'Reg Proy Inmob'!$C$24</f>
        <v>0</v>
      </c>
      <c r="K53" s="65">
        <f>+K51*'Reg Proy Inmob'!$C$24</f>
        <v>0</v>
      </c>
      <c r="L53" s="65">
        <f>+L51*'Reg Proy Inmob'!$C$24</f>
        <v>0</v>
      </c>
      <c r="M53" s="65">
        <f>+M51*'Reg Proy Inmob'!$C$24</f>
        <v>0</v>
      </c>
      <c r="N53" s="65">
        <f>+N51*'Reg Proy Inmob'!$C$24</f>
        <v>0</v>
      </c>
      <c r="O53" s="65">
        <f>+O51*'Reg Proy Inmob'!$C$24</f>
        <v>0</v>
      </c>
      <c r="P53" s="65">
        <f>+P51*'Reg Proy Inmob'!$C$24</f>
        <v>0</v>
      </c>
      <c r="Q53" s="65">
        <f>+Q51*'Reg Proy Inmob'!$C$24</f>
        <v>0</v>
      </c>
      <c r="R53" s="65">
        <f>+R51*'Reg Proy Inmob'!$C$24</f>
        <v>0</v>
      </c>
      <c r="S53" s="65">
        <f>+S51*'Reg Proy Inmob'!$C$24</f>
        <v>0</v>
      </c>
      <c r="T53" s="65">
        <f>+T51*'Reg Proy Inmob'!$C$24</f>
        <v>0</v>
      </c>
      <c r="U53" s="65">
        <f>+U51*'Reg Proy Inmob'!$C$24</f>
        <v>0</v>
      </c>
      <c r="V53" s="65">
        <f>+V51*'Reg Proy Inmob'!$C$24</f>
        <v>0</v>
      </c>
      <c r="W53" s="65">
        <f>+W51*'Reg Proy Inmob'!$C$24</f>
        <v>0</v>
      </c>
      <c r="X53" s="65">
        <f>+X51*'Reg Proy Inmob'!$C$24</f>
        <v>0</v>
      </c>
      <c r="Y53" s="65">
        <f>+Y51*'Reg Proy Inmob'!$C$24</f>
        <v>0</v>
      </c>
      <c r="Z53" s="65">
        <f>+Z51*'Reg Proy Inmob'!$C$24</f>
        <v>0</v>
      </c>
      <c r="AA53" s="65">
        <f>+AA51*'Reg Proy Inmob'!$C$24</f>
        <v>0</v>
      </c>
    </row>
    <row r="54" spans="2:27" s="4" customFormat="1" outlineLevel="3">
      <c r="B54" s="21" t="s">
        <v>11</v>
      </c>
      <c r="C54" s="24"/>
      <c r="D54" s="23"/>
      <c r="G54" s="65">
        <f>+G51*'Reg Proy Inmob'!$C50</f>
        <v>0</v>
      </c>
      <c r="H54" s="65">
        <f>+H51*'Reg Proy Inmob'!$C50</f>
        <v>0</v>
      </c>
      <c r="I54" s="65">
        <f>+I51*'Reg Proy Inmob'!$C50</f>
        <v>0</v>
      </c>
      <c r="J54" s="65">
        <f>+J51*'Reg Proy Inmob'!$C$25</f>
        <v>0</v>
      </c>
      <c r="K54" s="65">
        <f>+K51*'Reg Proy Inmob'!$C$25</f>
        <v>0</v>
      </c>
      <c r="L54" s="65">
        <f>+L51*'Reg Proy Inmob'!$C$25</f>
        <v>0</v>
      </c>
      <c r="M54" s="65">
        <f>+M51*'Reg Proy Inmob'!$C$25</f>
        <v>0</v>
      </c>
      <c r="N54" s="65">
        <f>+N51*'Reg Proy Inmob'!$C$25</f>
        <v>0</v>
      </c>
      <c r="O54" s="65">
        <f>+O51*'Reg Proy Inmob'!$C$25</f>
        <v>0</v>
      </c>
      <c r="P54" s="65">
        <f>+P51*'Reg Proy Inmob'!$C$25</f>
        <v>0</v>
      </c>
      <c r="Q54" s="65">
        <f>+Q51*'Reg Proy Inmob'!$C$25</f>
        <v>0</v>
      </c>
      <c r="R54" s="65">
        <f>+R51*'Reg Proy Inmob'!$C$25</f>
        <v>0</v>
      </c>
      <c r="S54" s="65">
        <f>+S51*'Reg Proy Inmob'!$C$25</f>
        <v>0</v>
      </c>
      <c r="T54" s="65">
        <f>+T51*'Reg Proy Inmob'!$C$25</f>
        <v>0</v>
      </c>
      <c r="U54" s="65">
        <f>+U51*'Reg Proy Inmob'!$C$25</f>
        <v>0</v>
      </c>
      <c r="V54" s="65">
        <f>+V51*'Reg Proy Inmob'!$C$25</f>
        <v>0</v>
      </c>
      <c r="W54" s="65">
        <f>+W51*'Reg Proy Inmob'!$C$25</f>
        <v>0</v>
      </c>
      <c r="X54" s="65">
        <f>+X51*'Reg Proy Inmob'!$C$25</f>
        <v>0</v>
      </c>
      <c r="Y54" s="65">
        <f>+Y51*'Reg Proy Inmob'!$C$25</f>
        <v>0</v>
      </c>
      <c r="Z54" s="65">
        <f>+Z51*'Reg Proy Inmob'!$C$25</f>
        <v>0</v>
      </c>
      <c r="AA54" s="65">
        <f>+AA51*'Reg Proy Inmob'!$C$25</f>
        <v>0</v>
      </c>
    </row>
    <row r="55" spans="2:27" s="4" customFormat="1" outlineLevel="3">
      <c r="B55" s="21" t="s">
        <v>6</v>
      </c>
      <c r="C55" s="24"/>
      <c r="G55" s="65">
        <f>+G51*'Reg Proy Inmob'!$C52</f>
        <v>0</v>
      </c>
      <c r="H55" s="65">
        <f>+H51*'Reg Proy Inmob'!$C52</f>
        <v>0</v>
      </c>
      <c r="I55" s="65">
        <f>+I51*'Reg Proy Inmob'!$C52</f>
        <v>0</v>
      </c>
      <c r="J55" s="65">
        <f>+J51*'Reg Proy Inmob'!$C$27</f>
        <v>0</v>
      </c>
      <c r="K55" s="65">
        <f>+K51*'Reg Proy Inmob'!$C$27</f>
        <v>0</v>
      </c>
      <c r="L55" s="65">
        <f>+L51*'Reg Proy Inmob'!$C$27</f>
        <v>0</v>
      </c>
      <c r="M55" s="65">
        <f>+M51*'Reg Proy Inmob'!$C$27</f>
        <v>0</v>
      </c>
      <c r="N55" s="65">
        <f>+N51*'Reg Proy Inmob'!$C$27</f>
        <v>0</v>
      </c>
      <c r="O55" s="65">
        <f>+O51*'Reg Proy Inmob'!$C$27</f>
        <v>0</v>
      </c>
      <c r="P55" s="65">
        <f>+P51*'Reg Proy Inmob'!$C$27</f>
        <v>0</v>
      </c>
      <c r="Q55" s="65">
        <f>+Q51*'Reg Proy Inmob'!$C$27</f>
        <v>0</v>
      </c>
      <c r="R55" s="65">
        <f>+R51*'Reg Proy Inmob'!$C$27</f>
        <v>0</v>
      </c>
      <c r="S55" s="65">
        <f>+S51*'Reg Proy Inmob'!$C$27</f>
        <v>0</v>
      </c>
      <c r="T55" s="65">
        <f>+T51*'Reg Proy Inmob'!$C$27</f>
        <v>0</v>
      </c>
      <c r="U55" s="65">
        <f>+U51*'Reg Proy Inmob'!$C$27</f>
        <v>0</v>
      </c>
      <c r="V55" s="65">
        <f>+V51*'Reg Proy Inmob'!$C$27</f>
        <v>0</v>
      </c>
      <c r="W55" s="65">
        <f>+W51*'Reg Proy Inmob'!$C$27</f>
        <v>0</v>
      </c>
      <c r="X55" s="65">
        <f>+X51*'Reg Proy Inmob'!$C$27</f>
        <v>0</v>
      </c>
      <c r="Y55" s="65">
        <f>+Y51*'Reg Proy Inmob'!$C$27</f>
        <v>0</v>
      </c>
      <c r="Z55" s="65">
        <f>+Z51*'Reg Proy Inmob'!$C$27</f>
        <v>0</v>
      </c>
      <c r="AA55" s="65">
        <f>+AA51*'Reg Proy Inmob'!$C$27</f>
        <v>0</v>
      </c>
    </row>
    <row r="56" spans="2:27" s="4" customFormat="1" outlineLevel="3">
      <c r="B56" s="21" t="s">
        <v>222</v>
      </c>
      <c r="C56" s="78"/>
      <c r="D56" s="23"/>
      <c r="G56" s="65">
        <f>+G51*'Reg Proy Inmob'!$C54</f>
        <v>0</v>
      </c>
      <c r="H56" s="65">
        <f>+H51*'Reg Proy Inmob'!$C54</f>
        <v>1618.8591888000005</v>
      </c>
      <c r="I56" s="65">
        <f>+I51*'Reg Proy Inmob'!$C54</f>
        <v>2943.3803432727277</v>
      </c>
      <c r="J56" s="65">
        <f>+J51*'Reg Proy Inmob'!$C$29</f>
        <v>3152.8765265454545</v>
      </c>
      <c r="K56" s="65">
        <f>+K51*'Reg Proy Inmob'!$C$29</f>
        <v>3152.8765265454545</v>
      </c>
      <c r="L56" s="65">
        <f>+L51*'Reg Proy Inmob'!$C$29</f>
        <v>3152.8765265454545</v>
      </c>
      <c r="M56" s="65">
        <f>+M51*'Reg Proy Inmob'!$C$29</f>
        <v>3152.8765265454545</v>
      </c>
      <c r="N56" s="65">
        <f>+N51*'Reg Proy Inmob'!$C$29</f>
        <v>3152.8765265454545</v>
      </c>
      <c r="O56" s="65">
        <f>+O51*'Reg Proy Inmob'!$C$29</f>
        <v>3152.8765265454545</v>
      </c>
      <c r="P56" s="65">
        <f>+P51*'Reg Proy Inmob'!$C$29</f>
        <v>3152.8765265454545</v>
      </c>
      <c r="Q56" s="65">
        <f>+Q51*'Reg Proy Inmob'!$C$29</f>
        <v>3152.8765265454545</v>
      </c>
      <c r="R56" s="65">
        <f>+R51*'Reg Proy Inmob'!$C$29</f>
        <v>3152.8765265454545</v>
      </c>
      <c r="S56" s="65">
        <f>+S51*'Reg Proy Inmob'!$C$29</f>
        <v>3152.8765265454545</v>
      </c>
      <c r="T56" s="65">
        <f>+T51*'Reg Proy Inmob'!$C$29</f>
        <v>3152.8765265454545</v>
      </c>
      <c r="U56" s="65">
        <f>+U51*'Reg Proy Inmob'!$C$29</f>
        <v>3152.8765265454545</v>
      </c>
      <c r="V56" s="65">
        <f>+V51*'Reg Proy Inmob'!$C$29</f>
        <v>3152.8765265454545</v>
      </c>
      <c r="W56" s="65">
        <f>+W51*'Reg Proy Inmob'!$C$29</f>
        <v>3152.8765265454545</v>
      </c>
      <c r="X56" s="65">
        <f>+X51*'Reg Proy Inmob'!$C$29</f>
        <v>3152.8765265454545</v>
      </c>
      <c r="Y56" s="65">
        <f>+Y51*'Reg Proy Inmob'!$C$29</f>
        <v>3152.8765265454545</v>
      </c>
      <c r="Z56" s="65">
        <f>+Z51*'Reg Proy Inmob'!$C$29</f>
        <v>3152.8765265454545</v>
      </c>
      <c r="AA56" s="65">
        <f>+AA51*'Reg Proy Inmob'!$C$29</f>
        <v>3152.8765265454545</v>
      </c>
    </row>
    <row r="57" spans="2:27" s="4" customFormat="1" ht="34" outlineLevel="3">
      <c r="B57" s="25" t="s">
        <v>56</v>
      </c>
      <c r="C57" s="24" t="s">
        <v>57</v>
      </c>
      <c r="G57" s="65">
        <f>+G51*'Reg Proy Inmob'!$C51</f>
        <v>0</v>
      </c>
      <c r="H57" s="65">
        <f>+H51*'Reg Proy Inmob'!$C51</f>
        <v>630.74705232000008</v>
      </c>
      <c r="I57" s="65">
        <f>+I51*'Reg Proy Inmob'!$C51</f>
        <v>1146.8128224</v>
      </c>
      <c r="J57" s="65">
        <f>+J51*'Reg Proy Inmob'!$C51</f>
        <v>1146.8128224</v>
      </c>
      <c r="K57" s="65">
        <f>+K51*'Reg Proy Inmob'!$C51</f>
        <v>1146.8128224</v>
      </c>
      <c r="L57" s="65">
        <f>+L51*'Reg Proy Inmob'!$C51</f>
        <v>1146.8128224</v>
      </c>
      <c r="M57" s="65">
        <f>+M51*'Reg Proy Inmob'!$C51</f>
        <v>1146.8128224</v>
      </c>
      <c r="N57" s="65">
        <f>+N51*'Reg Proy Inmob'!$C51</f>
        <v>1146.8128224</v>
      </c>
      <c r="O57" s="65">
        <f>+O51*'Reg Proy Inmob'!$C51</f>
        <v>1146.8128224</v>
      </c>
      <c r="P57" s="65">
        <f>+P51*'Reg Proy Inmob'!$C51</f>
        <v>1146.8128224</v>
      </c>
      <c r="Q57" s="65">
        <f>+Q51*'Reg Proy Inmob'!$C51</f>
        <v>1146.8128224</v>
      </c>
      <c r="R57" s="65">
        <f>+R51*'Reg Proy Inmob'!$C51</f>
        <v>1146.8128224</v>
      </c>
      <c r="S57" s="65">
        <f>+S51*'Reg Proy Inmob'!$C51</f>
        <v>1146.8128224</v>
      </c>
      <c r="T57" s="65">
        <f>+T51*'Reg Proy Inmob'!$C51</f>
        <v>1146.8128224</v>
      </c>
      <c r="U57" s="65">
        <f>+U51*'Reg Proy Inmob'!$C51</f>
        <v>1146.8128224</v>
      </c>
      <c r="V57" s="65">
        <f>+V51*'Reg Proy Inmob'!$C51</f>
        <v>1146.8128224</v>
      </c>
      <c r="W57" s="65">
        <f>+W51*'Reg Proy Inmob'!$C51</f>
        <v>1146.8128224</v>
      </c>
      <c r="X57" s="65">
        <f>+X51*'Reg Proy Inmob'!$C51</f>
        <v>1146.8128224</v>
      </c>
      <c r="Y57" s="65">
        <f>+Y51*'Reg Proy Inmob'!$C51</f>
        <v>1146.8128224</v>
      </c>
      <c r="Z57" s="65">
        <f>+Z51*'Reg Proy Inmob'!$C51</f>
        <v>1146.8128224</v>
      </c>
      <c r="AA57" s="65">
        <f>+AA51*'Reg Proy Inmob'!$C51</f>
        <v>1146.8128224</v>
      </c>
    </row>
    <row r="58" spans="2:27" s="4" customFormat="1" ht="17" outlineLevel="2">
      <c r="B58" s="22" t="s">
        <v>59</v>
      </c>
      <c r="C58" s="24"/>
      <c r="G58" s="65">
        <f>+G59+G60</f>
        <v>0</v>
      </c>
      <c r="H58" s="65">
        <f>+H59+H60</f>
        <v>1264.2279888000005</v>
      </c>
      <c r="I58" s="65">
        <f>+I59+I60</f>
        <v>2298.5963432727281</v>
      </c>
      <c r="J58" s="65">
        <f>+J59+J60</f>
        <v>2298.5963432727281</v>
      </c>
      <c r="K58" s="65">
        <f>+K59+K60</f>
        <v>2298.5963432727281</v>
      </c>
      <c r="L58" s="65">
        <f t="shared" ref="L58:AA58" si="16">+L59+L60</f>
        <v>2298.5963432727281</v>
      </c>
      <c r="M58" s="65">
        <f t="shared" si="16"/>
        <v>2298.5963432727281</v>
      </c>
      <c r="N58" s="65">
        <f t="shared" si="16"/>
        <v>2298.5963432727281</v>
      </c>
      <c r="O58" s="65">
        <f t="shared" si="16"/>
        <v>2298.5963432727281</v>
      </c>
      <c r="P58" s="65">
        <f t="shared" si="16"/>
        <v>2298.5963432727281</v>
      </c>
      <c r="Q58" s="65">
        <f t="shared" si="16"/>
        <v>2298.5963432727281</v>
      </c>
      <c r="R58" s="65">
        <f t="shared" si="16"/>
        <v>2298.5963432727281</v>
      </c>
      <c r="S58" s="65">
        <f t="shared" si="16"/>
        <v>2298.5963432727281</v>
      </c>
      <c r="T58" s="65">
        <f t="shared" si="16"/>
        <v>2298.5963432727281</v>
      </c>
      <c r="U58" s="65">
        <f t="shared" si="16"/>
        <v>2298.5963432727281</v>
      </c>
      <c r="V58" s="65">
        <f t="shared" si="16"/>
        <v>2298.5963432727281</v>
      </c>
      <c r="W58" s="65">
        <f t="shared" si="16"/>
        <v>2298.5963432727281</v>
      </c>
      <c r="X58" s="65">
        <f t="shared" si="16"/>
        <v>2298.5963432727281</v>
      </c>
      <c r="Y58" s="65">
        <f t="shared" si="16"/>
        <v>2298.5963432727281</v>
      </c>
      <c r="Z58" s="65">
        <f t="shared" si="16"/>
        <v>2298.5963432727281</v>
      </c>
      <c r="AA58" s="65">
        <f t="shared" si="16"/>
        <v>2298.5963432727281</v>
      </c>
    </row>
    <row r="59" spans="2:27" s="4" customFormat="1" ht="17" outlineLevel="3">
      <c r="B59" s="25" t="s">
        <v>6</v>
      </c>
      <c r="C59" s="24"/>
      <c r="G59" s="65">
        <f>+G51*'Reg Proy Inmob'!$C53</f>
        <v>0</v>
      </c>
      <c r="H59" s="65">
        <f>+H51*'Reg Proy Inmob'!$C53</f>
        <v>0</v>
      </c>
      <c r="I59" s="65">
        <f>+I51*'Reg Proy Inmob'!$C53</f>
        <v>0</v>
      </c>
      <c r="J59" s="65">
        <f>+J51*'Reg Proy Inmob'!$C53</f>
        <v>0</v>
      </c>
      <c r="K59" s="65">
        <f>+K51*'Reg Proy Inmob'!$C53</f>
        <v>0</v>
      </c>
      <c r="L59" s="65">
        <f>+L51*'Reg Proy Inmob'!$C53</f>
        <v>0</v>
      </c>
      <c r="M59" s="65">
        <f>+M51*'Reg Proy Inmob'!$C53</f>
        <v>0</v>
      </c>
      <c r="N59" s="65">
        <f>+N51*'Reg Proy Inmob'!$C53</f>
        <v>0</v>
      </c>
      <c r="O59" s="65">
        <f>+O51*'Reg Proy Inmob'!$C53</f>
        <v>0</v>
      </c>
      <c r="P59" s="65">
        <f>+P51*'Reg Proy Inmob'!$C53</f>
        <v>0</v>
      </c>
      <c r="Q59" s="65">
        <f>+Q51*'Reg Proy Inmob'!$C53</f>
        <v>0</v>
      </c>
      <c r="R59" s="65">
        <f>+R51*'Reg Proy Inmob'!$C53</f>
        <v>0</v>
      </c>
      <c r="S59" s="65">
        <f>+S51*'Reg Proy Inmob'!$C53</f>
        <v>0</v>
      </c>
      <c r="T59" s="65">
        <f>+T51*'Reg Proy Inmob'!$C53</f>
        <v>0</v>
      </c>
      <c r="U59" s="65">
        <f>+U51*'Reg Proy Inmob'!$C53</f>
        <v>0</v>
      </c>
      <c r="V59" s="65">
        <f>+V51*'Reg Proy Inmob'!$C53</f>
        <v>0</v>
      </c>
      <c r="W59" s="65">
        <f>+W51*'Reg Proy Inmob'!$C53</f>
        <v>0</v>
      </c>
      <c r="X59" s="65">
        <f>+X51*'Reg Proy Inmob'!$C53</f>
        <v>0</v>
      </c>
      <c r="Y59" s="65">
        <f>+Y51*'Reg Proy Inmob'!$C53</f>
        <v>0</v>
      </c>
      <c r="Z59" s="65">
        <f>+Z51*'Reg Proy Inmob'!$C53</f>
        <v>0</v>
      </c>
      <c r="AA59" s="65">
        <f>+AA51*'Reg Proy Inmob'!$C53</f>
        <v>0</v>
      </c>
    </row>
    <row r="60" spans="2:27" s="4" customFormat="1" ht="17" outlineLevel="3">
      <c r="B60" s="25" t="s">
        <v>222</v>
      </c>
      <c r="C60" s="24"/>
      <c r="F60" s="57"/>
      <c r="G60" s="65">
        <f>+G51*'Reg Proy Inmob'!$C55</f>
        <v>0</v>
      </c>
      <c r="H60" s="65">
        <f>+H51*'Reg Proy Inmob'!$C55</f>
        <v>1264.2279888000005</v>
      </c>
      <c r="I60" s="65">
        <f>+I51*'Reg Proy Inmob'!$C55</f>
        <v>2298.5963432727281</v>
      </c>
      <c r="J60" s="65">
        <f>+J51*'Reg Proy Inmob'!$C55</f>
        <v>2298.5963432727281</v>
      </c>
      <c r="K60" s="65">
        <f>+K51*'Reg Proy Inmob'!$C55</f>
        <v>2298.5963432727281</v>
      </c>
      <c r="L60" s="65">
        <f>+L51*'Reg Proy Inmob'!$C55</f>
        <v>2298.5963432727281</v>
      </c>
      <c r="M60" s="65">
        <f>+M51*'Reg Proy Inmob'!$C55</f>
        <v>2298.5963432727281</v>
      </c>
      <c r="N60" s="65">
        <f>+N51*'Reg Proy Inmob'!$C55</f>
        <v>2298.5963432727281</v>
      </c>
      <c r="O60" s="65">
        <f>+O51*'Reg Proy Inmob'!$C55</f>
        <v>2298.5963432727281</v>
      </c>
      <c r="P60" s="65">
        <f>+P51*'Reg Proy Inmob'!$C55</f>
        <v>2298.5963432727281</v>
      </c>
      <c r="Q60" s="65">
        <f>+Q51*'Reg Proy Inmob'!$C55</f>
        <v>2298.5963432727281</v>
      </c>
      <c r="R60" s="65">
        <f>+R51*'Reg Proy Inmob'!$C55</f>
        <v>2298.5963432727281</v>
      </c>
      <c r="S60" s="65">
        <f>+S51*'Reg Proy Inmob'!$C55</f>
        <v>2298.5963432727281</v>
      </c>
      <c r="T60" s="65">
        <f>+T51*'Reg Proy Inmob'!$C55</f>
        <v>2298.5963432727281</v>
      </c>
      <c r="U60" s="65">
        <f>+U51*'Reg Proy Inmob'!$C55</f>
        <v>2298.5963432727281</v>
      </c>
      <c r="V60" s="65">
        <f>+V51*'Reg Proy Inmob'!$C55</f>
        <v>2298.5963432727281</v>
      </c>
      <c r="W60" s="65">
        <f>+W51*'Reg Proy Inmob'!$C55</f>
        <v>2298.5963432727281</v>
      </c>
      <c r="X60" s="65">
        <f>+X51*'Reg Proy Inmob'!$C55</f>
        <v>2298.5963432727281</v>
      </c>
      <c r="Y60" s="65">
        <f>+Y51*'Reg Proy Inmob'!$C55</f>
        <v>2298.5963432727281</v>
      </c>
      <c r="Z60" s="65">
        <f>+Z51*'Reg Proy Inmob'!$C55</f>
        <v>2298.5963432727281</v>
      </c>
      <c r="AA60" s="65">
        <f>+AA51*'Reg Proy Inmob'!$C55</f>
        <v>2298.5963432727281</v>
      </c>
    </row>
    <row r="61" spans="2:27" s="4" customFormat="1" ht="17" outlineLevel="2">
      <c r="B61" s="22" t="s">
        <v>60</v>
      </c>
      <c r="C61" s="24"/>
      <c r="G61" s="65">
        <f>-G62+G63+G64+G65+G66+G67+G68+G69</f>
        <v>0</v>
      </c>
      <c r="H61" s="65">
        <f t="shared" ref="H61:AA61" si="17">-H62+H63+H64+H65+H66+H67+H68+H69</f>
        <v>0</v>
      </c>
      <c r="I61" s="65">
        <f t="shared" si="17"/>
        <v>3796.1068789999999</v>
      </c>
      <c r="J61" s="65">
        <f t="shared" si="17"/>
        <v>1276.6073836727264</v>
      </c>
      <c r="K61" s="65">
        <f t="shared" si="17"/>
        <v>0</v>
      </c>
      <c r="L61" s="65">
        <f t="shared" si="17"/>
        <v>0</v>
      </c>
      <c r="M61" s="65">
        <f t="shared" si="17"/>
        <v>0</v>
      </c>
      <c r="N61" s="65">
        <f t="shared" si="17"/>
        <v>0</v>
      </c>
      <c r="O61" s="65">
        <f t="shared" si="17"/>
        <v>0</v>
      </c>
      <c r="P61" s="65">
        <f t="shared" si="17"/>
        <v>0</v>
      </c>
      <c r="Q61" s="65">
        <f t="shared" si="17"/>
        <v>0</v>
      </c>
      <c r="R61" s="65">
        <f t="shared" si="17"/>
        <v>0</v>
      </c>
      <c r="S61" s="65">
        <f t="shared" si="17"/>
        <v>0</v>
      </c>
      <c r="T61" s="65">
        <f t="shared" si="17"/>
        <v>0</v>
      </c>
      <c r="U61" s="65">
        <f t="shared" si="17"/>
        <v>0</v>
      </c>
      <c r="V61" s="65">
        <f t="shared" si="17"/>
        <v>0</v>
      </c>
      <c r="W61" s="65">
        <f t="shared" si="17"/>
        <v>0</v>
      </c>
      <c r="X61" s="65">
        <f t="shared" si="17"/>
        <v>0</v>
      </c>
      <c r="Y61" s="65">
        <f t="shared" si="17"/>
        <v>0</v>
      </c>
      <c r="Z61" s="65">
        <f t="shared" si="17"/>
        <v>0</v>
      </c>
      <c r="AA61" s="65">
        <f t="shared" si="17"/>
        <v>0</v>
      </c>
    </row>
    <row r="62" spans="2:27" outlineLevel="3">
      <c r="B62" s="21" t="s">
        <v>51</v>
      </c>
      <c r="C62" s="20"/>
      <c r="G62" s="67"/>
      <c r="H62" s="67"/>
      <c r="I62" s="67"/>
      <c r="J62" s="67"/>
      <c r="K62" s="67"/>
      <c r="L62" s="67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38"/>
    </row>
    <row r="63" spans="2:27" outlineLevel="3">
      <c r="B63" s="21" t="s">
        <v>52</v>
      </c>
      <c r="C63" s="20"/>
      <c r="G63" s="67"/>
      <c r="H63" s="67"/>
      <c r="I63" s="67"/>
      <c r="J63" s="67"/>
      <c r="K63" s="67"/>
      <c r="L63" s="67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38"/>
    </row>
    <row r="64" spans="2:27" ht="51" outlineLevel="3">
      <c r="B64" s="25" t="s">
        <v>54</v>
      </c>
      <c r="C64" s="20"/>
      <c r="G64" s="67"/>
      <c r="H64" s="67"/>
      <c r="I64" s="67">
        <v>3071.6212569999998</v>
      </c>
      <c r="J64" s="67"/>
      <c r="K64" s="67"/>
      <c r="L64" s="67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38"/>
    </row>
    <row r="65" spans="2:27" s="4" customFormat="1" ht="17" outlineLevel="3">
      <c r="B65" s="25" t="s">
        <v>61</v>
      </c>
      <c r="C65" s="24"/>
      <c r="G65" s="67"/>
      <c r="H65" s="67"/>
      <c r="I65" s="67">
        <v>724.48562200000003</v>
      </c>
      <c r="J65" s="67">
        <f>+J56-J60-I65</f>
        <v>129.79456127272636</v>
      </c>
      <c r="K65" s="67"/>
      <c r="L65" s="67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57"/>
    </row>
    <row r="66" spans="2:27" s="4" customFormat="1" ht="17" outlineLevel="3">
      <c r="B66" s="25" t="s">
        <v>62</v>
      </c>
      <c r="C66" s="24"/>
      <c r="G66" s="67"/>
      <c r="H66" s="67"/>
      <c r="I66" s="67"/>
      <c r="J66" s="67"/>
      <c r="K66" s="67"/>
      <c r="L66" s="67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57"/>
    </row>
    <row r="67" spans="2:27" s="4" customFormat="1" ht="17" outlineLevel="3">
      <c r="B67" s="25" t="s">
        <v>63</v>
      </c>
      <c r="C67" s="24"/>
      <c r="G67" s="67"/>
      <c r="H67" s="67"/>
      <c r="I67" s="67"/>
      <c r="J67" s="67"/>
      <c r="K67" s="67"/>
      <c r="L67" s="67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57"/>
    </row>
    <row r="68" spans="2:27" s="4" customFormat="1" ht="17" outlineLevel="3">
      <c r="B68" s="25" t="s">
        <v>64</v>
      </c>
      <c r="C68" s="24"/>
      <c r="G68" s="67"/>
      <c r="H68" s="67"/>
      <c r="I68" s="67"/>
      <c r="J68" s="67"/>
      <c r="K68" s="67"/>
      <c r="L68" s="67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57"/>
    </row>
    <row r="69" spans="2:27" s="4" customFormat="1" ht="34" outlineLevel="3">
      <c r="B69" s="25" t="s">
        <v>65</v>
      </c>
      <c r="C69" s="24"/>
      <c r="G69" s="67"/>
      <c r="H69" s="67"/>
      <c r="I69" s="67"/>
      <c r="J69" s="67">
        <f>+J57</f>
        <v>1146.8128224</v>
      </c>
      <c r="K69" s="67"/>
      <c r="L69" s="67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57"/>
    </row>
    <row r="70" spans="2:27" s="4" customFormat="1" outlineLevel="2">
      <c r="B70" s="25"/>
      <c r="C70" s="24"/>
    </row>
    <row r="71" spans="2:27" outlineLevel="1">
      <c r="B71" s="18" t="s">
        <v>226</v>
      </c>
      <c r="C71" s="20"/>
      <c r="D71" t="s">
        <v>185</v>
      </c>
    </row>
    <row r="72" spans="2:27" outlineLevel="2">
      <c r="B72" s="19" t="s">
        <v>220</v>
      </c>
      <c r="C72" s="20"/>
    </row>
    <row r="73" spans="2:27" ht="34" outlineLevel="3">
      <c r="B73" s="25" t="s">
        <v>58</v>
      </c>
      <c r="C73" s="20"/>
      <c r="G73" s="60">
        <v>396</v>
      </c>
      <c r="H73" s="60">
        <v>396</v>
      </c>
      <c r="I73" s="60">
        <v>396</v>
      </c>
      <c r="J73" s="60">
        <f>+I73</f>
        <v>396</v>
      </c>
      <c r="K73" s="60">
        <f t="shared" ref="K73:W73" si="18">+J73</f>
        <v>396</v>
      </c>
      <c r="L73" s="60">
        <f t="shared" si="18"/>
        <v>396</v>
      </c>
      <c r="M73" s="60">
        <f t="shared" si="18"/>
        <v>396</v>
      </c>
      <c r="N73" s="60">
        <f t="shared" si="18"/>
        <v>396</v>
      </c>
      <c r="O73" s="60">
        <f t="shared" si="18"/>
        <v>396</v>
      </c>
      <c r="P73" s="60">
        <f t="shared" si="18"/>
        <v>396</v>
      </c>
      <c r="Q73" s="60">
        <f t="shared" si="18"/>
        <v>396</v>
      </c>
      <c r="R73" s="60">
        <f t="shared" si="18"/>
        <v>396</v>
      </c>
      <c r="S73" s="60">
        <f t="shared" si="18"/>
        <v>396</v>
      </c>
      <c r="T73" s="60">
        <f t="shared" si="18"/>
        <v>396</v>
      </c>
      <c r="U73" s="60">
        <f t="shared" si="18"/>
        <v>396</v>
      </c>
      <c r="V73" s="60">
        <f t="shared" si="18"/>
        <v>396</v>
      </c>
      <c r="W73" s="60">
        <f t="shared" si="18"/>
        <v>396</v>
      </c>
      <c r="X73" s="60">
        <f t="shared" ref="X73:AA74" si="19">+W73</f>
        <v>396</v>
      </c>
      <c r="Y73" s="60">
        <f t="shared" si="19"/>
        <v>396</v>
      </c>
      <c r="Z73" s="60">
        <f t="shared" si="19"/>
        <v>396</v>
      </c>
      <c r="AA73" s="60">
        <f t="shared" si="19"/>
        <v>396</v>
      </c>
    </row>
    <row r="74" spans="2:27" ht="17" outlineLevel="3">
      <c r="B74" s="25" t="s">
        <v>66</v>
      </c>
      <c r="C74" s="20"/>
      <c r="F74" s="2"/>
      <c r="G74" s="61">
        <f>+G75*G73</f>
        <v>33981.818904</v>
      </c>
      <c r="H74" s="61">
        <f>+H75*H73</f>
        <v>33981.818904</v>
      </c>
      <c r="I74" s="61">
        <f>+I75*I73</f>
        <v>33981.818904</v>
      </c>
      <c r="J74" s="60">
        <f t="shared" ref="J74:W74" si="20">+I74</f>
        <v>33981.818904</v>
      </c>
      <c r="K74" s="60">
        <f t="shared" si="20"/>
        <v>33981.818904</v>
      </c>
      <c r="L74" s="60">
        <f t="shared" si="20"/>
        <v>33981.818904</v>
      </c>
      <c r="M74" s="60">
        <f t="shared" si="20"/>
        <v>33981.818904</v>
      </c>
      <c r="N74" s="60">
        <f t="shared" si="20"/>
        <v>33981.818904</v>
      </c>
      <c r="O74" s="60">
        <f t="shared" si="20"/>
        <v>33981.818904</v>
      </c>
      <c r="P74" s="60">
        <f t="shared" si="20"/>
        <v>33981.818904</v>
      </c>
      <c r="Q74" s="60">
        <f t="shared" si="20"/>
        <v>33981.818904</v>
      </c>
      <c r="R74" s="60">
        <f t="shared" si="20"/>
        <v>33981.818904</v>
      </c>
      <c r="S74" s="60">
        <f t="shared" si="20"/>
        <v>33981.818904</v>
      </c>
      <c r="T74" s="60">
        <f t="shared" si="20"/>
        <v>33981.818904</v>
      </c>
      <c r="U74" s="60">
        <f t="shared" si="20"/>
        <v>33981.818904</v>
      </c>
      <c r="V74" s="60">
        <f t="shared" si="20"/>
        <v>33981.818904</v>
      </c>
      <c r="W74" s="60">
        <f t="shared" si="20"/>
        <v>33981.818904</v>
      </c>
      <c r="X74" s="60">
        <f t="shared" si="19"/>
        <v>33981.818904</v>
      </c>
      <c r="Y74" s="60">
        <f t="shared" si="19"/>
        <v>33981.818904</v>
      </c>
      <c r="Z74" s="60">
        <f t="shared" si="19"/>
        <v>33981.818904</v>
      </c>
      <c r="AA74" s="60">
        <f t="shared" si="19"/>
        <v>33981.818904</v>
      </c>
    </row>
    <row r="75" spans="2:27" ht="17" outlineLevel="3">
      <c r="B75" s="25" t="s">
        <v>67</v>
      </c>
      <c r="C75" s="20"/>
      <c r="F75">
        <f>+IF(ISERROR(F74/F73),0,F74/F73)</f>
        <v>0</v>
      </c>
      <c r="G75" s="26">
        <v>85.812674000000001</v>
      </c>
      <c r="H75" s="26">
        <f>+G75</f>
        <v>85.812674000000001</v>
      </c>
      <c r="I75" s="26">
        <f>+H75</f>
        <v>85.812674000000001</v>
      </c>
      <c r="J75">
        <f t="shared" ref="J75:W75" si="21">+IF(ISERROR(J74/J73),0,J74/J73)</f>
        <v>85.812674000000001</v>
      </c>
      <c r="K75">
        <f t="shared" si="21"/>
        <v>85.812674000000001</v>
      </c>
      <c r="L75">
        <f t="shared" si="21"/>
        <v>85.812674000000001</v>
      </c>
      <c r="M75">
        <f t="shared" si="21"/>
        <v>85.812674000000001</v>
      </c>
      <c r="N75">
        <f t="shared" si="21"/>
        <v>85.812674000000001</v>
      </c>
      <c r="O75">
        <f t="shared" si="21"/>
        <v>85.812674000000001</v>
      </c>
      <c r="P75">
        <f t="shared" si="21"/>
        <v>85.812674000000001</v>
      </c>
      <c r="Q75">
        <f t="shared" si="21"/>
        <v>85.812674000000001</v>
      </c>
      <c r="R75">
        <f t="shared" si="21"/>
        <v>85.812674000000001</v>
      </c>
      <c r="S75">
        <f t="shared" si="21"/>
        <v>85.812674000000001</v>
      </c>
      <c r="T75">
        <f t="shared" si="21"/>
        <v>85.812674000000001</v>
      </c>
      <c r="U75">
        <f t="shared" si="21"/>
        <v>85.812674000000001</v>
      </c>
      <c r="V75">
        <f t="shared" si="21"/>
        <v>85.812674000000001</v>
      </c>
      <c r="W75">
        <f t="shared" si="21"/>
        <v>85.812674000000001</v>
      </c>
      <c r="X75">
        <f>+IF(ISERROR(X74/X73),0,X74/X73)</f>
        <v>85.812674000000001</v>
      </c>
      <c r="Y75">
        <f>+IF(ISERROR(Y74/Y73),0,Y74/Y73)</f>
        <v>85.812674000000001</v>
      </c>
      <c r="Z75">
        <f>+IF(ISERROR(Z74/Z73),0,Z74/Z73)</f>
        <v>85.812674000000001</v>
      </c>
      <c r="AA75">
        <f>+IF(ISERROR(AA74/AA73),0,AA74/AA73)</f>
        <v>85.812674000000001</v>
      </c>
    </row>
    <row r="76" spans="2:27" ht="17" outlineLevel="2">
      <c r="B76" s="22" t="s">
        <v>216</v>
      </c>
      <c r="C76" s="20"/>
      <c r="G76" s="26"/>
      <c r="H76" s="26"/>
    </row>
    <row r="77" spans="2:27" ht="34" outlineLevel="3">
      <c r="B77" s="25" t="s">
        <v>217</v>
      </c>
      <c r="C77" s="20"/>
      <c r="G77" s="69"/>
      <c r="H77" s="69">
        <v>300</v>
      </c>
      <c r="I77" s="66">
        <f>+I73</f>
        <v>396</v>
      </c>
      <c r="J77" s="66">
        <f t="shared" ref="J77:W77" si="22">+J73</f>
        <v>396</v>
      </c>
      <c r="K77" s="66">
        <f t="shared" si="22"/>
        <v>396</v>
      </c>
      <c r="L77" s="66">
        <f t="shared" si="22"/>
        <v>396</v>
      </c>
      <c r="M77" s="66">
        <f t="shared" si="22"/>
        <v>396</v>
      </c>
      <c r="N77" s="66">
        <f t="shared" si="22"/>
        <v>396</v>
      </c>
      <c r="O77" s="66">
        <f t="shared" si="22"/>
        <v>396</v>
      </c>
      <c r="P77" s="66">
        <f t="shared" si="22"/>
        <v>396</v>
      </c>
      <c r="Q77" s="66">
        <f t="shared" si="22"/>
        <v>396</v>
      </c>
      <c r="R77" s="66">
        <f t="shared" si="22"/>
        <v>396</v>
      </c>
      <c r="S77" s="66">
        <f t="shared" si="22"/>
        <v>396</v>
      </c>
      <c r="T77" s="66">
        <f t="shared" si="22"/>
        <v>396</v>
      </c>
      <c r="U77" s="66">
        <f t="shared" si="22"/>
        <v>396</v>
      </c>
      <c r="V77" s="66">
        <f t="shared" si="22"/>
        <v>396</v>
      </c>
      <c r="W77" s="66">
        <f t="shared" si="22"/>
        <v>396</v>
      </c>
      <c r="X77" s="66">
        <f>+X73</f>
        <v>396</v>
      </c>
      <c r="Y77" s="66">
        <f>+Y73</f>
        <v>396</v>
      </c>
      <c r="Z77" s="66">
        <f>+Z73</f>
        <v>396</v>
      </c>
      <c r="AA77" s="66">
        <f>+AA73</f>
        <v>396</v>
      </c>
    </row>
    <row r="78" spans="2:27" ht="34" outlineLevel="3">
      <c r="B78" s="25" t="s">
        <v>218</v>
      </c>
      <c r="C78" s="20"/>
      <c r="G78" s="69"/>
      <c r="H78" s="69">
        <f>+H77*H75</f>
        <v>25743.802200000002</v>
      </c>
      <c r="I78" s="66">
        <f>+H74</f>
        <v>33981.818904</v>
      </c>
      <c r="J78" s="66">
        <f t="shared" ref="J78:W78" si="23">+I74</f>
        <v>33981.818904</v>
      </c>
      <c r="K78" s="66">
        <f t="shared" si="23"/>
        <v>33981.818904</v>
      </c>
      <c r="L78" s="66">
        <f t="shared" si="23"/>
        <v>33981.818904</v>
      </c>
      <c r="M78" s="66">
        <f t="shared" si="23"/>
        <v>33981.818904</v>
      </c>
      <c r="N78" s="66">
        <f t="shared" si="23"/>
        <v>33981.818904</v>
      </c>
      <c r="O78" s="66">
        <f t="shared" si="23"/>
        <v>33981.818904</v>
      </c>
      <c r="P78" s="66">
        <f t="shared" si="23"/>
        <v>33981.818904</v>
      </c>
      <c r="Q78" s="66">
        <f t="shared" si="23"/>
        <v>33981.818904</v>
      </c>
      <c r="R78" s="66">
        <f t="shared" si="23"/>
        <v>33981.818904</v>
      </c>
      <c r="S78" s="66">
        <f t="shared" si="23"/>
        <v>33981.818904</v>
      </c>
      <c r="T78" s="66">
        <f t="shared" si="23"/>
        <v>33981.818904</v>
      </c>
      <c r="U78" s="66">
        <f t="shared" si="23"/>
        <v>33981.818904</v>
      </c>
      <c r="V78" s="66">
        <f t="shared" si="23"/>
        <v>33981.818904</v>
      </c>
      <c r="W78" s="66">
        <f t="shared" si="23"/>
        <v>33981.818904</v>
      </c>
      <c r="X78" s="66">
        <f>+W74</f>
        <v>33981.818904</v>
      </c>
      <c r="Y78" s="66">
        <f>+X74</f>
        <v>33981.818904</v>
      </c>
      <c r="Z78" s="66">
        <f>+Y74</f>
        <v>33981.818904</v>
      </c>
      <c r="AA78" s="66">
        <f>+Z74</f>
        <v>33981.818904</v>
      </c>
    </row>
    <row r="79" spans="2:27" ht="17" outlineLevel="3">
      <c r="B79" s="25" t="s">
        <v>219</v>
      </c>
      <c r="C79" s="20"/>
      <c r="G79" s="26">
        <f>+IF(ISERROR(G78/G77),0,G78/G77)</f>
        <v>0</v>
      </c>
      <c r="H79" s="26">
        <f>+IF(ISERROR(H78/H77),0,H78/H77)</f>
        <v>85.812674000000001</v>
      </c>
      <c r="I79" s="26">
        <f>+IF(ISERROR(I78/I77),0,I78/I77)</f>
        <v>85.812674000000001</v>
      </c>
      <c r="J79" s="26">
        <f t="shared" ref="J79:AA79" si="24">+IF(ISERROR(J78/J77),0,J78/J77)</f>
        <v>85.812674000000001</v>
      </c>
      <c r="K79" s="26">
        <f t="shared" si="24"/>
        <v>85.812674000000001</v>
      </c>
      <c r="L79" s="26">
        <f t="shared" si="24"/>
        <v>85.812674000000001</v>
      </c>
      <c r="M79" s="26">
        <f t="shared" si="24"/>
        <v>85.812674000000001</v>
      </c>
      <c r="N79" s="26">
        <f t="shared" si="24"/>
        <v>85.812674000000001</v>
      </c>
      <c r="O79" s="26">
        <f t="shared" si="24"/>
        <v>85.812674000000001</v>
      </c>
      <c r="P79" s="26">
        <f t="shared" si="24"/>
        <v>85.812674000000001</v>
      </c>
      <c r="Q79" s="26">
        <f t="shared" si="24"/>
        <v>85.812674000000001</v>
      </c>
      <c r="R79" s="26">
        <f t="shared" si="24"/>
        <v>85.812674000000001</v>
      </c>
      <c r="S79" s="26">
        <f t="shared" si="24"/>
        <v>85.812674000000001</v>
      </c>
      <c r="T79" s="26">
        <f t="shared" si="24"/>
        <v>85.812674000000001</v>
      </c>
      <c r="U79" s="26">
        <f t="shared" si="24"/>
        <v>85.812674000000001</v>
      </c>
      <c r="V79" s="26">
        <f t="shared" si="24"/>
        <v>85.812674000000001</v>
      </c>
      <c r="W79" s="26">
        <f t="shared" si="24"/>
        <v>85.812674000000001</v>
      </c>
      <c r="X79" s="26">
        <f t="shared" si="24"/>
        <v>85.812674000000001</v>
      </c>
      <c r="Y79" s="26">
        <f t="shared" si="24"/>
        <v>85.812674000000001</v>
      </c>
      <c r="Z79" s="26">
        <f t="shared" si="24"/>
        <v>85.812674000000001</v>
      </c>
      <c r="AA79" s="26">
        <f t="shared" si="24"/>
        <v>85.812674000000001</v>
      </c>
    </row>
    <row r="80" spans="2:27" ht="17" outlineLevel="2">
      <c r="B80" s="22" t="s">
        <v>68</v>
      </c>
      <c r="C80" s="20"/>
    </row>
    <row r="81" spans="2:27" ht="34" outlineLevel="2">
      <c r="B81" s="22" t="s">
        <v>221</v>
      </c>
      <c r="C81" s="20" t="s">
        <v>53</v>
      </c>
      <c r="D81" s="1">
        <v>0.11</v>
      </c>
      <c r="F81">
        <v>0</v>
      </c>
      <c r="G81" s="60">
        <v>9567</v>
      </c>
      <c r="H81" s="60">
        <v>0</v>
      </c>
      <c r="I81" s="60">
        <v>0</v>
      </c>
      <c r="J81" s="60"/>
      <c r="K81" s="60"/>
      <c r="L81" s="60"/>
    </row>
    <row r="82" spans="2:27" outlineLevel="2">
      <c r="B82" s="19" t="s">
        <v>55</v>
      </c>
      <c r="C82" s="20"/>
      <c r="F82" s="13"/>
      <c r="G82" s="70">
        <v>0.45</v>
      </c>
      <c r="H82" s="70">
        <v>1</v>
      </c>
      <c r="I82" s="70">
        <v>1</v>
      </c>
      <c r="J82" s="70">
        <v>1</v>
      </c>
      <c r="K82" s="70">
        <v>1</v>
      </c>
      <c r="L82" s="70">
        <v>1</v>
      </c>
      <c r="M82" s="70">
        <v>1</v>
      </c>
      <c r="N82" s="70">
        <v>1</v>
      </c>
      <c r="O82" s="70">
        <v>1</v>
      </c>
      <c r="P82" s="70">
        <v>1</v>
      </c>
      <c r="Q82" s="70">
        <v>1</v>
      </c>
      <c r="R82" s="70">
        <v>1</v>
      </c>
      <c r="S82" s="70">
        <v>1</v>
      </c>
      <c r="T82" s="70">
        <v>1</v>
      </c>
      <c r="U82" s="70">
        <v>1</v>
      </c>
      <c r="V82" s="70">
        <v>1</v>
      </c>
      <c r="W82" s="70">
        <v>1</v>
      </c>
      <c r="X82" s="70">
        <v>1</v>
      </c>
      <c r="Y82" s="70">
        <v>1</v>
      </c>
      <c r="Z82" s="70">
        <v>1</v>
      </c>
      <c r="AA82" s="70">
        <v>1</v>
      </c>
    </row>
    <row r="83" spans="2:27" outlineLevel="2">
      <c r="B83" s="19" t="s">
        <v>224</v>
      </c>
      <c r="C83" s="20"/>
      <c r="F83" s="13"/>
      <c r="G83" s="64">
        <f>+G82*G74</f>
        <v>15291.8185068</v>
      </c>
      <c r="H83" s="64">
        <f>+H82*H74</f>
        <v>33981.818904</v>
      </c>
      <c r="I83" s="64">
        <f>+I82*I74</f>
        <v>33981.818904</v>
      </c>
      <c r="J83" s="64">
        <f>+J82*J74</f>
        <v>33981.818904</v>
      </c>
      <c r="K83" s="64">
        <f>+K82*K74</f>
        <v>33981.818904</v>
      </c>
      <c r="L83" s="64">
        <f t="shared" ref="L83:AA83" si="25">+L82*L74</f>
        <v>33981.818904</v>
      </c>
      <c r="M83" s="64">
        <f t="shared" si="25"/>
        <v>33981.818904</v>
      </c>
      <c r="N83" s="64">
        <f t="shared" si="25"/>
        <v>33981.818904</v>
      </c>
      <c r="O83" s="64">
        <f t="shared" si="25"/>
        <v>33981.818904</v>
      </c>
      <c r="P83" s="64">
        <f t="shared" si="25"/>
        <v>33981.818904</v>
      </c>
      <c r="Q83" s="64">
        <f t="shared" si="25"/>
        <v>33981.818904</v>
      </c>
      <c r="R83" s="64">
        <f t="shared" si="25"/>
        <v>33981.818904</v>
      </c>
      <c r="S83" s="64">
        <f t="shared" si="25"/>
        <v>33981.818904</v>
      </c>
      <c r="T83" s="64">
        <f t="shared" si="25"/>
        <v>33981.818904</v>
      </c>
      <c r="U83" s="64">
        <f t="shared" si="25"/>
        <v>33981.818904</v>
      </c>
      <c r="V83" s="64">
        <f t="shared" si="25"/>
        <v>33981.818904</v>
      </c>
      <c r="W83" s="64">
        <f t="shared" si="25"/>
        <v>33981.818904</v>
      </c>
      <c r="X83" s="64">
        <f t="shared" si="25"/>
        <v>33981.818904</v>
      </c>
      <c r="Y83" s="64">
        <f t="shared" si="25"/>
        <v>33981.818904</v>
      </c>
      <c r="Z83" s="64">
        <f t="shared" si="25"/>
        <v>33981.818904</v>
      </c>
      <c r="AA83" s="64">
        <f t="shared" si="25"/>
        <v>33981.818904</v>
      </c>
    </row>
    <row r="84" spans="2:27" outlineLevel="2">
      <c r="B84" s="19" t="s">
        <v>225</v>
      </c>
      <c r="C84" s="20"/>
      <c r="G84" s="65">
        <f>+G85+G86+G87+G88+G89</f>
        <v>11609.364917754059</v>
      </c>
      <c r="H84" s="65">
        <f>+H85+H86+H87+H88+H89</f>
        <v>25798.588706120136</v>
      </c>
      <c r="I84" s="65">
        <f>+I85+I86+I87+I88+I89</f>
        <v>25798.588706120136</v>
      </c>
      <c r="J84" s="65">
        <f>+J85+J86+J87+J88+J89</f>
        <v>25798.588706120136</v>
      </c>
      <c r="K84" s="65">
        <f>+K85+K86+K87+K88+K89</f>
        <v>25798.588706120136</v>
      </c>
      <c r="L84" s="65">
        <f t="shared" ref="L84:AA84" si="26">+L85+L86+L87+L88+L89</f>
        <v>25798.588706120136</v>
      </c>
      <c r="M84" s="65">
        <f t="shared" si="26"/>
        <v>25798.588706120136</v>
      </c>
      <c r="N84" s="65">
        <f t="shared" si="26"/>
        <v>25798.588706120136</v>
      </c>
      <c r="O84" s="65">
        <f t="shared" si="26"/>
        <v>25798.588706120136</v>
      </c>
      <c r="P84" s="65">
        <f t="shared" si="26"/>
        <v>25798.588706120136</v>
      </c>
      <c r="Q84" s="65">
        <f t="shared" si="26"/>
        <v>25798.588706120136</v>
      </c>
      <c r="R84" s="65">
        <f t="shared" si="26"/>
        <v>25798.588706120136</v>
      </c>
      <c r="S84" s="65">
        <f t="shared" si="26"/>
        <v>25798.588706120136</v>
      </c>
      <c r="T84" s="65">
        <f t="shared" si="26"/>
        <v>25798.588706120136</v>
      </c>
      <c r="U84" s="65">
        <f t="shared" si="26"/>
        <v>25798.588706120136</v>
      </c>
      <c r="V84" s="65">
        <f t="shared" si="26"/>
        <v>25798.588706120136</v>
      </c>
      <c r="W84" s="65">
        <f t="shared" si="26"/>
        <v>25798.588706120136</v>
      </c>
      <c r="X84" s="65">
        <f t="shared" si="26"/>
        <v>25798.588706120136</v>
      </c>
      <c r="Y84" s="65">
        <f t="shared" si="26"/>
        <v>25798.588706120136</v>
      </c>
      <c r="Z84" s="65">
        <f t="shared" si="26"/>
        <v>25798.588706120136</v>
      </c>
      <c r="AA84" s="65">
        <f t="shared" si="26"/>
        <v>25798.588706120136</v>
      </c>
    </row>
    <row r="85" spans="2:27" s="4" customFormat="1" outlineLevel="3">
      <c r="B85" s="21" t="s">
        <v>7</v>
      </c>
      <c r="C85" s="21"/>
      <c r="D85" s="23"/>
      <c r="G85" s="65">
        <f>+G83*'Reg Proy Inmob'!$C74</f>
        <v>0</v>
      </c>
      <c r="H85" s="65">
        <f>+H83*'Reg Proy Inmob'!$C74</f>
        <v>0</v>
      </c>
      <c r="I85" s="65">
        <f>+I83*'Reg Proy Inmob'!$C74</f>
        <v>0</v>
      </c>
      <c r="J85" s="65">
        <f>+J83*'Reg Proy Inmob'!$C74</f>
        <v>0</v>
      </c>
      <c r="K85" s="65">
        <f>+K83*'Reg Proy Inmob'!$C74</f>
        <v>0</v>
      </c>
      <c r="L85" s="65">
        <f>+L83*'Reg Proy Inmob'!$C74</f>
        <v>0</v>
      </c>
      <c r="M85" s="65">
        <f>+M83*'Reg Proy Inmob'!$C74</f>
        <v>0</v>
      </c>
      <c r="N85" s="65">
        <f>+N83*'Reg Proy Inmob'!$C74</f>
        <v>0</v>
      </c>
      <c r="O85" s="65">
        <f>+O83*'Reg Proy Inmob'!$C74</f>
        <v>0</v>
      </c>
      <c r="P85" s="65">
        <f>+P83*'Reg Proy Inmob'!$C74</f>
        <v>0</v>
      </c>
      <c r="Q85" s="65">
        <f>+Q83*'Reg Proy Inmob'!$C74</f>
        <v>0</v>
      </c>
      <c r="R85" s="65">
        <f>+R83*'Reg Proy Inmob'!$C74</f>
        <v>0</v>
      </c>
      <c r="S85" s="65">
        <f>+S83*'Reg Proy Inmob'!$C74</f>
        <v>0</v>
      </c>
      <c r="T85" s="65">
        <f>+T83*'Reg Proy Inmob'!$C74</f>
        <v>0</v>
      </c>
      <c r="U85" s="65">
        <f>+U83*'Reg Proy Inmob'!$C74</f>
        <v>0</v>
      </c>
      <c r="V85" s="65">
        <f>+V83*'Reg Proy Inmob'!$C74</f>
        <v>0</v>
      </c>
      <c r="W85" s="65">
        <f>+W83*'Reg Proy Inmob'!$C74</f>
        <v>0</v>
      </c>
      <c r="X85" s="65">
        <f>+X83*'Reg Proy Inmob'!$C74</f>
        <v>0</v>
      </c>
      <c r="Y85" s="65">
        <f>+Y83*'Reg Proy Inmob'!$C74</f>
        <v>0</v>
      </c>
      <c r="Z85" s="65">
        <f>+Z83*'Reg Proy Inmob'!$C74</f>
        <v>0</v>
      </c>
      <c r="AA85" s="65">
        <f>+AA83*'Reg Proy Inmob'!$C74</f>
        <v>0</v>
      </c>
    </row>
    <row r="86" spans="2:27" s="4" customFormat="1" outlineLevel="3">
      <c r="B86" s="21" t="s">
        <v>11</v>
      </c>
      <c r="C86" s="72"/>
      <c r="D86" s="23"/>
      <c r="G86" s="65">
        <f>+G83*'Reg Proy Inmob'!$C75</f>
        <v>0</v>
      </c>
      <c r="H86" s="65">
        <f>+H83*'Reg Proy Inmob'!$C75</f>
        <v>0</v>
      </c>
      <c r="I86" s="65">
        <f>+I83*'Reg Proy Inmob'!$C75</f>
        <v>0</v>
      </c>
      <c r="J86" s="65">
        <f>+J83*'Reg Proy Inmob'!$C75</f>
        <v>0</v>
      </c>
      <c r="K86" s="65">
        <f>+K83*'Reg Proy Inmob'!$C75</f>
        <v>0</v>
      </c>
      <c r="L86" s="65">
        <f>+L83*'Reg Proy Inmob'!$C75</f>
        <v>0</v>
      </c>
      <c r="M86" s="65">
        <f>+M83*'Reg Proy Inmob'!$C75</f>
        <v>0</v>
      </c>
      <c r="N86" s="65">
        <f>+N83*'Reg Proy Inmob'!$C75</f>
        <v>0</v>
      </c>
      <c r="O86" s="65">
        <f>+O83*'Reg Proy Inmob'!$C75</f>
        <v>0</v>
      </c>
      <c r="P86" s="65">
        <f>+P83*'Reg Proy Inmob'!$C75</f>
        <v>0</v>
      </c>
      <c r="Q86" s="65">
        <f>+Q83*'Reg Proy Inmob'!$C75</f>
        <v>0</v>
      </c>
      <c r="R86" s="65">
        <f>+R83*'Reg Proy Inmob'!$C75</f>
        <v>0</v>
      </c>
      <c r="S86" s="65">
        <f>+S83*'Reg Proy Inmob'!$C75</f>
        <v>0</v>
      </c>
      <c r="T86" s="65">
        <f>+T83*'Reg Proy Inmob'!$C75</f>
        <v>0</v>
      </c>
      <c r="U86" s="65">
        <f>+U83*'Reg Proy Inmob'!$C75</f>
        <v>0</v>
      </c>
      <c r="V86" s="65">
        <f>+V83*'Reg Proy Inmob'!$C75</f>
        <v>0</v>
      </c>
      <c r="W86" s="65">
        <f>+W83*'Reg Proy Inmob'!$C75</f>
        <v>0</v>
      </c>
      <c r="X86" s="65">
        <f>+X83*'Reg Proy Inmob'!$C75</f>
        <v>0</v>
      </c>
      <c r="Y86" s="65">
        <f>+Y83*'Reg Proy Inmob'!$C75</f>
        <v>0</v>
      </c>
      <c r="Z86" s="65">
        <f>+Z83*'Reg Proy Inmob'!$C75</f>
        <v>0</v>
      </c>
      <c r="AA86" s="65">
        <f>+AA83*'Reg Proy Inmob'!$C75</f>
        <v>0</v>
      </c>
    </row>
    <row r="87" spans="2:27" s="4" customFormat="1" outlineLevel="3">
      <c r="B87" s="21" t="s">
        <v>6</v>
      </c>
      <c r="C87" s="72"/>
      <c r="G87" s="65">
        <f>+G83*'Reg Proy Inmob'!$C77</f>
        <v>9848.6930485281191</v>
      </c>
      <c r="H87" s="65">
        <f>+H83*'Reg Proy Inmob'!$C77</f>
        <v>21885.98455228471</v>
      </c>
      <c r="I87" s="65">
        <f>+I83*'Reg Proy Inmob'!$C77</f>
        <v>21885.98455228471</v>
      </c>
      <c r="J87" s="65">
        <f>+J83*'Reg Proy Inmob'!$C77</f>
        <v>21885.98455228471</v>
      </c>
      <c r="K87" s="65">
        <f>+K83*'Reg Proy Inmob'!$C77</f>
        <v>21885.98455228471</v>
      </c>
      <c r="L87" s="65">
        <f>+L83*'Reg Proy Inmob'!$C77</f>
        <v>21885.98455228471</v>
      </c>
      <c r="M87" s="65">
        <f>+M83*'Reg Proy Inmob'!$C77</f>
        <v>21885.98455228471</v>
      </c>
      <c r="N87" s="65">
        <f>+N83*'Reg Proy Inmob'!$C77</f>
        <v>21885.98455228471</v>
      </c>
      <c r="O87" s="65">
        <f>+O83*'Reg Proy Inmob'!$C77</f>
        <v>21885.98455228471</v>
      </c>
      <c r="P87" s="65">
        <f>+P83*'Reg Proy Inmob'!$C77</f>
        <v>21885.98455228471</v>
      </c>
      <c r="Q87" s="65">
        <f>+Q83*'Reg Proy Inmob'!$C77</f>
        <v>21885.98455228471</v>
      </c>
      <c r="R87" s="65">
        <f>+R83*'Reg Proy Inmob'!$C77</f>
        <v>21885.98455228471</v>
      </c>
      <c r="S87" s="65">
        <f>+S83*'Reg Proy Inmob'!$C77</f>
        <v>21885.98455228471</v>
      </c>
      <c r="T87" s="65">
        <f>+T83*'Reg Proy Inmob'!$C77</f>
        <v>21885.98455228471</v>
      </c>
      <c r="U87" s="65">
        <f>+U83*'Reg Proy Inmob'!$C77</f>
        <v>21885.98455228471</v>
      </c>
      <c r="V87" s="65">
        <f>+V83*'Reg Proy Inmob'!$C77</f>
        <v>21885.98455228471</v>
      </c>
      <c r="W87" s="65">
        <f>+W83*'Reg Proy Inmob'!$C77</f>
        <v>21885.98455228471</v>
      </c>
      <c r="X87" s="65">
        <f>+X83*'Reg Proy Inmob'!$C77</f>
        <v>21885.98455228471</v>
      </c>
      <c r="Y87" s="65">
        <f>+Y83*'Reg Proy Inmob'!$C77</f>
        <v>21885.98455228471</v>
      </c>
      <c r="Z87" s="65">
        <f>+Z83*'Reg Proy Inmob'!$C77</f>
        <v>21885.98455228471</v>
      </c>
      <c r="AA87" s="65">
        <f>+AA83*'Reg Proy Inmob'!$C77</f>
        <v>21885.98455228471</v>
      </c>
    </row>
    <row r="88" spans="2:27" s="4" customFormat="1" outlineLevel="3">
      <c r="B88" s="21" t="s">
        <v>222</v>
      </c>
      <c r="C88" s="72"/>
      <c r="D88" s="8"/>
      <c r="G88" s="65">
        <f>+G83*'Reg Proy Inmob'!$C79</f>
        <v>1760.6718692259408</v>
      </c>
      <c r="H88" s="65">
        <f>+H83*'Reg Proy Inmob'!$C79</f>
        <v>3912.6041538354239</v>
      </c>
      <c r="I88" s="65">
        <f>+I83*'Reg Proy Inmob'!$C79</f>
        <v>3912.6041538354239</v>
      </c>
      <c r="J88" s="65">
        <f>+J83*'Reg Proy Inmob'!$C79</f>
        <v>3912.6041538354239</v>
      </c>
      <c r="K88" s="65">
        <f>+K83*'Reg Proy Inmob'!$C79</f>
        <v>3912.6041538354239</v>
      </c>
      <c r="L88" s="65">
        <f>+L83*'Reg Proy Inmob'!$C79</f>
        <v>3912.6041538354239</v>
      </c>
      <c r="M88" s="65">
        <f>+M83*'Reg Proy Inmob'!$C79</f>
        <v>3912.6041538354239</v>
      </c>
      <c r="N88" s="65">
        <f>+N83*'Reg Proy Inmob'!$C79</f>
        <v>3912.6041538354239</v>
      </c>
      <c r="O88" s="65">
        <f>+O83*'Reg Proy Inmob'!$C79</f>
        <v>3912.6041538354239</v>
      </c>
      <c r="P88" s="65">
        <f>+P83*'Reg Proy Inmob'!$C79</f>
        <v>3912.6041538354239</v>
      </c>
      <c r="Q88" s="65">
        <f>+Q83*'Reg Proy Inmob'!$C79</f>
        <v>3912.6041538354239</v>
      </c>
      <c r="R88" s="65">
        <f>+R83*'Reg Proy Inmob'!$C79</f>
        <v>3912.6041538354239</v>
      </c>
      <c r="S88" s="65">
        <f>+S83*'Reg Proy Inmob'!$C79</f>
        <v>3912.6041538354239</v>
      </c>
      <c r="T88" s="65">
        <f>+T83*'Reg Proy Inmob'!$C79</f>
        <v>3912.6041538354239</v>
      </c>
      <c r="U88" s="65">
        <f>+U83*'Reg Proy Inmob'!$C79</f>
        <v>3912.6041538354239</v>
      </c>
      <c r="V88" s="65">
        <f>+V83*'Reg Proy Inmob'!$C79</f>
        <v>3912.6041538354239</v>
      </c>
      <c r="W88" s="65">
        <f>+W83*'Reg Proy Inmob'!$C79</f>
        <v>3912.6041538354239</v>
      </c>
      <c r="X88" s="65">
        <f>+X83*'Reg Proy Inmob'!$C79</f>
        <v>3912.6041538354239</v>
      </c>
      <c r="Y88" s="65">
        <f>+Y83*'Reg Proy Inmob'!$C79</f>
        <v>3912.6041538354239</v>
      </c>
      <c r="Z88" s="65">
        <f>+Z83*'Reg Proy Inmob'!$C79</f>
        <v>3912.6041538354239</v>
      </c>
      <c r="AA88" s="65">
        <f>+AA83*'Reg Proy Inmob'!$C79</f>
        <v>3912.6041538354239</v>
      </c>
    </row>
    <row r="89" spans="2:27" s="4" customFormat="1" ht="34" outlineLevel="3">
      <c r="B89" s="25" t="s">
        <v>56</v>
      </c>
      <c r="C89" s="72"/>
      <c r="G89" s="65">
        <f>+G83*'Reg Proy Inmob'!$C76</f>
        <v>0</v>
      </c>
      <c r="H89" s="65">
        <f>+H83*'Reg Proy Inmob'!$C76</f>
        <v>0</v>
      </c>
      <c r="I89" s="65">
        <f>+I83*'Reg Proy Inmob'!$C76</f>
        <v>0</v>
      </c>
      <c r="J89" s="65">
        <f>+J83*'Reg Proy Inmob'!$C76</f>
        <v>0</v>
      </c>
      <c r="K89" s="65">
        <f>+K83*'Reg Proy Inmob'!$C76</f>
        <v>0</v>
      </c>
      <c r="L89" s="65">
        <f>+L83*'Reg Proy Inmob'!$C76</f>
        <v>0</v>
      </c>
      <c r="M89" s="65">
        <f>+M83*'Reg Proy Inmob'!$C76</f>
        <v>0</v>
      </c>
      <c r="N89" s="65">
        <f>+N83*'Reg Proy Inmob'!$C76</f>
        <v>0</v>
      </c>
      <c r="O89" s="65">
        <f>+O83*'Reg Proy Inmob'!$C76</f>
        <v>0</v>
      </c>
      <c r="P89" s="65">
        <f>+P83*'Reg Proy Inmob'!$C76</f>
        <v>0</v>
      </c>
      <c r="Q89" s="65">
        <f>+Q83*'Reg Proy Inmob'!$C76</f>
        <v>0</v>
      </c>
      <c r="R89" s="65">
        <f>+R83*'Reg Proy Inmob'!$C76</f>
        <v>0</v>
      </c>
      <c r="S89" s="65">
        <f>+S83*'Reg Proy Inmob'!$C76</f>
        <v>0</v>
      </c>
      <c r="T89" s="65">
        <f>+T83*'Reg Proy Inmob'!$C76</f>
        <v>0</v>
      </c>
      <c r="U89" s="65">
        <f>+U83*'Reg Proy Inmob'!$C76</f>
        <v>0</v>
      </c>
      <c r="V89" s="65">
        <f>+V83*'Reg Proy Inmob'!$C76</f>
        <v>0</v>
      </c>
      <c r="W89" s="65">
        <f>+W83*'Reg Proy Inmob'!$C76</f>
        <v>0</v>
      </c>
      <c r="X89" s="65">
        <f>+X83*'Reg Proy Inmob'!$C76</f>
        <v>0</v>
      </c>
      <c r="Y89" s="65">
        <f>+Y83*'Reg Proy Inmob'!$C76</f>
        <v>0</v>
      </c>
      <c r="Z89" s="65">
        <f>+Z83*'Reg Proy Inmob'!$C76</f>
        <v>0</v>
      </c>
      <c r="AA89" s="65">
        <f>+AA83*'Reg Proy Inmob'!$C76</f>
        <v>0</v>
      </c>
    </row>
    <row r="90" spans="2:27" s="4" customFormat="1" ht="17" outlineLevel="2">
      <c r="B90" s="22" t="s">
        <v>59</v>
      </c>
      <c r="C90" s="24"/>
      <c r="G90" s="65">
        <f>+G91+G92</f>
        <v>10036.332309491234</v>
      </c>
      <c r="H90" s="65">
        <f>+H91+H92</f>
        <v>22302.960687758299</v>
      </c>
      <c r="I90" s="65">
        <f>+I91+I92</f>
        <v>22302.960687758299</v>
      </c>
      <c r="J90" s="65">
        <f>+J91+J92</f>
        <v>22302.960687758299</v>
      </c>
      <c r="K90" s="65">
        <f>+K91+K92</f>
        <v>22302.960687758299</v>
      </c>
      <c r="L90" s="65">
        <f t="shared" ref="L90:AA90" si="27">+L91+L92</f>
        <v>22302.960687758299</v>
      </c>
      <c r="M90" s="65">
        <f t="shared" si="27"/>
        <v>22302.960687758299</v>
      </c>
      <c r="N90" s="65">
        <f t="shared" si="27"/>
        <v>22302.960687758299</v>
      </c>
      <c r="O90" s="65">
        <f t="shared" si="27"/>
        <v>22302.960687758299</v>
      </c>
      <c r="P90" s="65">
        <f t="shared" si="27"/>
        <v>22302.960687758299</v>
      </c>
      <c r="Q90" s="65">
        <f t="shared" si="27"/>
        <v>22302.960687758299</v>
      </c>
      <c r="R90" s="65">
        <f t="shared" si="27"/>
        <v>22302.960687758299</v>
      </c>
      <c r="S90" s="65">
        <f t="shared" si="27"/>
        <v>22302.960687758299</v>
      </c>
      <c r="T90" s="65">
        <f t="shared" si="27"/>
        <v>22302.960687758299</v>
      </c>
      <c r="U90" s="65">
        <f t="shared" si="27"/>
        <v>22302.960687758299</v>
      </c>
      <c r="V90" s="65">
        <f t="shared" si="27"/>
        <v>22302.960687758299</v>
      </c>
      <c r="W90" s="65">
        <f t="shared" si="27"/>
        <v>22302.960687758299</v>
      </c>
      <c r="X90" s="65">
        <f t="shared" si="27"/>
        <v>22302.960687758299</v>
      </c>
      <c r="Y90" s="65">
        <f t="shared" si="27"/>
        <v>22302.960687758299</v>
      </c>
      <c r="Z90" s="65">
        <f t="shared" si="27"/>
        <v>22302.960687758299</v>
      </c>
      <c r="AA90" s="65">
        <f t="shared" si="27"/>
        <v>22302.960687758299</v>
      </c>
    </row>
    <row r="91" spans="2:27" s="4" customFormat="1" ht="17" outlineLevel="3">
      <c r="B91" s="25" t="s">
        <v>6</v>
      </c>
      <c r="C91" s="72"/>
      <c r="G91" s="65">
        <f>+G83*'Reg Proy Inmob'!$C78</f>
        <v>9188.85374073612</v>
      </c>
      <c r="H91" s="65">
        <f>+H83*'Reg Proy Inmob'!$C78</f>
        <v>20419.674979413601</v>
      </c>
      <c r="I91" s="65">
        <f>+I83*'Reg Proy Inmob'!$C78</f>
        <v>20419.674979413601</v>
      </c>
      <c r="J91" s="65">
        <f>+J83*'Reg Proy Inmob'!$C78</f>
        <v>20419.674979413601</v>
      </c>
      <c r="K91" s="65">
        <f>+K83*'Reg Proy Inmob'!$C78</f>
        <v>20419.674979413601</v>
      </c>
      <c r="L91" s="65">
        <f>+L83*'Reg Proy Inmob'!$C78</f>
        <v>20419.674979413601</v>
      </c>
      <c r="M91" s="65">
        <f>+M83*'Reg Proy Inmob'!$C78</f>
        <v>20419.674979413601</v>
      </c>
      <c r="N91" s="65">
        <f>+N83*'Reg Proy Inmob'!$C78</f>
        <v>20419.674979413601</v>
      </c>
      <c r="O91" s="65">
        <f>+O83*'Reg Proy Inmob'!$C78</f>
        <v>20419.674979413601</v>
      </c>
      <c r="P91" s="65">
        <f>+P83*'Reg Proy Inmob'!$C78</f>
        <v>20419.674979413601</v>
      </c>
      <c r="Q91" s="65">
        <f>+Q83*'Reg Proy Inmob'!$C78</f>
        <v>20419.674979413601</v>
      </c>
      <c r="R91" s="65">
        <f>+R83*'Reg Proy Inmob'!$C78</f>
        <v>20419.674979413601</v>
      </c>
      <c r="S91" s="65">
        <f>+S83*'Reg Proy Inmob'!$C78</f>
        <v>20419.674979413601</v>
      </c>
      <c r="T91" s="65">
        <f>+T83*'Reg Proy Inmob'!$C78</f>
        <v>20419.674979413601</v>
      </c>
      <c r="U91" s="65">
        <f>+U83*'Reg Proy Inmob'!$C78</f>
        <v>20419.674979413601</v>
      </c>
      <c r="V91" s="65">
        <f>+V83*'Reg Proy Inmob'!$C78</f>
        <v>20419.674979413601</v>
      </c>
      <c r="W91" s="65">
        <f>+W83*'Reg Proy Inmob'!$C78</f>
        <v>20419.674979413601</v>
      </c>
      <c r="X91" s="65">
        <f>+X83*'Reg Proy Inmob'!$C78</f>
        <v>20419.674979413601</v>
      </c>
      <c r="Y91" s="65">
        <f>+Y83*'Reg Proy Inmob'!$C78</f>
        <v>20419.674979413601</v>
      </c>
      <c r="Z91" s="65">
        <f>+Z83*'Reg Proy Inmob'!$C78</f>
        <v>20419.674979413601</v>
      </c>
      <c r="AA91" s="65">
        <f>+AA83*'Reg Proy Inmob'!$C78</f>
        <v>20419.674979413601</v>
      </c>
    </row>
    <row r="92" spans="2:27" s="4" customFormat="1" ht="17" outlineLevel="3">
      <c r="B92" s="25" t="s">
        <v>222</v>
      </c>
      <c r="C92" s="72"/>
      <c r="G92" s="65">
        <f>+G83*'Reg Proy Inmob'!$C80</f>
        <v>847.47856875511479</v>
      </c>
      <c r="H92" s="65">
        <f>+H83*'Reg Proy Inmob'!$C80</f>
        <v>1883.2857083446995</v>
      </c>
      <c r="I92" s="65">
        <f>+I83*'Reg Proy Inmob'!$C80</f>
        <v>1883.2857083446995</v>
      </c>
      <c r="J92" s="65">
        <f>+J83*'Reg Proy Inmob'!$C80</f>
        <v>1883.2857083446995</v>
      </c>
      <c r="K92" s="65">
        <f>+K83*'Reg Proy Inmob'!$C80</f>
        <v>1883.2857083446995</v>
      </c>
      <c r="L92" s="65">
        <f>+L83*'Reg Proy Inmob'!$C80</f>
        <v>1883.2857083446995</v>
      </c>
      <c r="M92" s="65">
        <f>+M83*'Reg Proy Inmob'!$C80</f>
        <v>1883.2857083446995</v>
      </c>
      <c r="N92" s="65">
        <f>+N83*'Reg Proy Inmob'!$C80</f>
        <v>1883.2857083446995</v>
      </c>
      <c r="O92" s="65">
        <f>+O83*'Reg Proy Inmob'!$C80</f>
        <v>1883.2857083446995</v>
      </c>
      <c r="P92" s="65">
        <f>+P83*'Reg Proy Inmob'!$C80</f>
        <v>1883.2857083446995</v>
      </c>
      <c r="Q92" s="65">
        <f>+Q83*'Reg Proy Inmob'!$C80</f>
        <v>1883.2857083446995</v>
      </c>
      <c r="R92" s="65">
        <f>+R83*'Reg Proy Inmob'!$C80</f>
        <v>1883.2857083446995</v>
      </c>
      <c r="S92" s="65">
        <f>+S83*'Reg Proy Inmob'!$C80</f>
        <v>1883.2857083446995</v>
      </c>
      <c r="T92" s="65">
        <f>+T83*'Reg Proy Inmob'!$C80</f>
        <v>1883.2857083446995</v>
      </c>
      <c r="U92" s="65">
        <f>+U83*'Reg Proy Inmob'!$C80</f>
        <v>1883.2857083446995</v>
      </c>
      <c r="V92" s="65">
        <f>+V83*'Reg Proy Inmob'!$C80</f>
        <v>1883.2857083446995</v>
      </c>
      <c r="W92" s="65">
        <f>+W83*'Reg Proy Inmob'!$C80</f>
        <v>1883.2857083446995</v>
      </c>
      <c r="X92" s="65">
        <f>+X83*'Reg Proy Inmob'!$C80</f>
        <v>1883.2857083446995</v>
      </c>
      <c r="Y92" s="65">
        <f>+Y83*'Reg Proy Inmob'!$C80</f>
        <v>1883.2857083446995</v>
      </c>
      <c r="Z92" s="65">
        <f>+Z83*'Reg Proy Inmob'!$C80</f>
        <v>1883.2857083446995</v>
      </c>
      <c r="AA92" s="65">
        <f>+AA83*'Reg Proy Inmob'!$C80</f>
        <v>1883.2857083446995</v>
      </c>
    </row>
    <row r="93" spans="2:27" s="4" customFormat="1" ht="17" outlineLevel="2">
      <c r="B93" s="22" t="s">
        <v>60</v>
      </c>
      <c r="C93" s="24"/>
      <c r="G93" s="65">
        <f>-G94+G95+G96+G97+G98+G99+G100+G101</f>
        <v>-1366</v>
      </c>
      <c r="H93" s="65">
        <f t="shared" ref="H93:AA93" si="28">-H94+H95+H96+H97+H98+H99+H100+H101</f>
        <v>2182.3095728711087</v>
      </c>
      <c r="I93" s="65">
        <f t="shared" si="28"/>
        <v>3486.3836628820291</v>
      </c>
      <c r="J93" s="65">
        <f t="shared" si="28"/>
        <v>0</v>
      </c>
      <c r="K93" s="65">
        <f t="shared" si="28"/>
        <v>0</v>
      </c>
      <c r="L93" s="65">
        <f t="shared" si="28"/>
        <v>0</v>
      </c>
      <c r="M93" s="65">
        <f t="shared" si="28"/>
        <v>0</v>
      </c>
      <c r="N93" s="65">
        <f t="shared" si="28"/>
        <v>0</v>
      </c>
      <c r="O93" s="65">
        <f t="shared" si="28"/>
        <v>0</v>
      </c>
      <c r="P93" s="65">
        <f t="shared" si="28"/>
        <v>0</v>
      </c>
      <c r="Q93" s="65">
        <f t="shared" si="28"/>
        <v>0</v>
      </c>
      <c r="R93" s="65">
        <f t="shared" si="28"/>
        <v>0</v>
      </c>
      <c r="S93" s="65">
        <f t="shared" si="28"/>
        <v>0</v>
      </c>
      <c r="T93" s="65">
        <f t="shared" si="28"/>
        <v>0</v>
      </c>
      <c r="U93" s="65">
        <f t="shared" si="28"/>
        <v>0</v>
      </c>
      <c r="V93" s="65">
        <f t="shared" si="28"/>
        <v>0</v>
      </c>
      <c r="W93" s="65">
        <f t="shared" si="28"/>
        <v>0</v>
      </c>
      <c r="X93" s="65">
        <f t="shared" si="28"/>
        <v>0</v>
      </c>
      <c r="Y93" s="65">
        <f t="shared" si="28"/>
        <v>0</v>
      </c>
      <c r="Z93" s="65">
        <f t="shared" si="28"/>
        <v>0</v>
      </c>
      <c r="AA93" s="65">
        <f t="shared" si="28"/>
        <v>0</v>
      </c>
    </row>
    <row r="94" spans="2:27" outlineLevel="3">
      <c r="B94" s="21" t="s">
        <v>51</v>
      </c>
      <c r="C94" s="20"/>
      <c r="G94" s="67">
        <v>1908</v>
      </c>
      <c r="H94" s="67"/>
      <c r="I94" s="67"/>
      <c r="J94" s="67"/>
      <c r="K94" s="67"/>
      <c r="L94" s="67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38"/>
    </row>
    <row r="95" spans="2:27" outlineLevel="3">
      <c r="B95" s="21" t="s">
        <v>52</v>
      </c>
      <c r="C95" s="20"/>
      <c r="G95" s="67"/>
      <c r="H95" s="67"/>
      <c r="I95" s="67">
        <v>1908</v>
      </c>
      <c r="J95" s="67"/>
      <c r="K95" s="67"/>
      <c r="L95" s="67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38"/>
    </row>
    <row r="96" spans="2:27" ht="43" customHeight="1" outlineLevel="3">
      <c r="B96" s="25" t="s">
        <v>54</v>
      </c>
      <c r="C96" s="20"/>
      <c r="G96" s="67"/>
      <c r="H96" s="67"/>
      <c r="I96" s="67">
        <f>1500*I73/(I73+I105)</f>
        <v>807.06521739130437</v>
      </c>
      <c r="J96" s="67"/>
      <c r="K96" s="67"/>
      <c r="L96" s="67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38"/>
    </row>
    <row r="97" spans="2:27" s="4" customFormat="1" ht="17" outlineLevel="3">
      <c r="B97" s="25" t="s">
        <v>61</v>
      </c>
      <c r="C97" s="24"/>
      <c r="G97" s="67"/>
      <c r="H97" s="67">
        <v>1258</v>
      </c>
      <c r="I97" s="67">
        <f>+I88-I92-H97</f>
        <v>771.31844549072434</v>
      </c>
      <c r="J97" s="67"/>
      <c r="K97" s="67"/>
      <c r="L97" s="67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57"/>
    </row>
    <row r="98" spans="2:27" s="4" customFormat="1" ht="17" outlineLevel="3">
      <c r="B98" s="25" t="s">
        <v>62</v>
      </c>
      <c r="C98" s="24"/>
      <c r="G98" s="67"/>
      <c r="H98" s="67"/>
      <c r="I98" s="67"/>
      <c r="J98" s="67"/>
      <c r="K98" s="67"/>
      <c r="L98" s="67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57"/>
    </row>
    <row r="99" spans="2:27" s="4" customFormat="1" ht="17" outlineLevel="3">
      <c r="B99" s="25" t="s">
        <v>63</v>
      </c>
      <c r="C99" s="24"/>
      <c r="G99" s="67"/>
      <c r="H99" s="67"/>
      <c r="I99" s="67"/>
      <c r="J99" s="67"/>
      <c r="K99" s="67"/>
      <c r="L99" s="67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57"/>
    </row>
    <row r="100" spans="2:27" s="4" customFormat="1" ht="17" outlineLevel="3">
      <c r="B100" s="25" t="s">
        <v>64</v>
      </c>
      <c r="C100" s="24"/>
      <c r="G100" s="67">
        <v>542</v>
      </c>
      <c r="H100" s="67">
        <f>+H87-H91-G100</f>
        <v>924.30957287110868</v>
      </c>
      <c r="I100" s="67"/>
      <c r="J100" s="67"/>
      <c r="K100" s="67"/>
      <c r="L100" s="67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57"/>
    </row>
    <row r="101" spans="2:27" s="4" customFormat="1" ht="34" outlineLevel="3">
      <c r="B101" s="25" t="s">
        <v>65</v>
      </c>
      <c r="C101" s="24"/>
      <c r="G101" s="67"/>
      <c r="H101" s="67"/>
      <c r="I101" s="67">
        <f>+I89</f>
        <v>0</v>
      </c>
      <c r="J101" s="67">
        <f>+I89</f>
        <v>0</v>
      </c>
      <c r="K101" s="67">
        <f>+I89</f>
        <v>0</v>
      </c>
      <c r="L101" s="67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57"/>
    </row>
    <row r="102" spans="2:27" s="4" customFormat="1" outlineLevel="2">
      <c r="B102" s="25"/>
      <c r="C102" s="24"/>
    </row>
    <row r="103" spans="2:27" outlineLevel="1">
      <c r="B103" s="18" t="s">
        <v>227</v>
      </c>
      <c r="C103" s="20"/>
      <c r="D103" t="s">
        <v>185</v>
      </c>
    </row>
    <row r="104" spans="2:27" outlineLevel="2">
      <c r="B104" s="19" t="s">
        <v>220</v>
      </c>
      <c r="C104" s="20"/>
    </row>
    <row r="105" spans="2:27" ht="34" outlineLevel="3">
      <c r="B105" s="25" t="s">
        <v>58</v>
      </c>
      <c r="C105" s="20"/>
      <c r="G105" s="60">
        <v>100</v>
      </c>
      <c r="H105" s="60">
        <v>340</v>
      </c>
      <c r="I105" s="60">
        <f t="shared" ref="I105:K106" si="29">+H105</f>
        <v>340</v>
      </c>
      <c r="J105" s="60">
        <f t="shared" si="29"/>
        <v>340</v>
      </c>
      <c r="K105" s="60">
        <f t="shared" si="29"/>
        <v>340</v>
      </c>
      <c r="L105" s="60">
        <v>340</v>
      </c>
      <c r="M105" s="60">
        <v>340</v>
      </c>
      <c r="N105" s="60">
        <v>340</v>
      </c>
      <c r="O105" s="60">
        <v>340</v>
      </c>
      <c r="P105" s="60">
        <v>340</v>
      </c>
      <c r="Q105" s="60">
        <v>340</v>
      </c>
      <c r="R105" s="60">
        <v>340</v>
      </c>
      <c r="S105" s="60">
        <v>340</v>
      </c>
      <c r="T105" s="60">
        <v>340</v>
      </c>
      <c r="U105" s="60">
        <v>340</v>
      </c>
      <c r="V105" s="60">
        <v>340</v>
      </c>
      <c r="W105" s="60">
        <v>340</v>
      </c>
      <c r="X105" s="60">
        <v>340</v>
      </c>
      <c r="Y105" s="60">
        <v>340</v>
      </c>
      <c r="Z105" s="60">
        <v>340</v>
      </c>
      <c r="AA105" s="60">
        <v>340</v>
      </c>
    </row>
    <row r="106" spans="2:27" ht="17" outlineLevel="3">
      <c r="B106" s="25" t="s">
        <v>66</v>
      </c>
      <c r="C106" s="20"/>
      <c r="F106" s="2"/>
      <c r="G106" s="61">
        <f>+G107*G105</f>
        <v>10055</v>
      </c>
      <c r="H106" s="61">
        <f>+L106</f>
        <v>34187</v>
      </c>
      <c r="I106" s="61">
        <f t="shared" si="29"/>
        <v>34187</v>
      </c>
      <c r="J106" s="61">
        <f t="shared" si="29"/>
        <v>34187</v>
      </c>
      <c r="K106" s="61">
        <f t="shared" si="29"/>
        <v>34187</v>
      </c>
      <c r="L106" s="61">
        <v>34187</v>
      </c>
      <c r="M106" s="61">
        <v>34187</v>
      </c>
      <c r="N106" s="61">
        <v>34187</v>
      </c>
      <c r="O106" s="61">
        <v>34187</v>
      </c>
      <c r="P106" s="61">
        <v>34187</v>
      </c>
      <c r="Q106" s="61">
        <v>34187</v>
      </c>
      <c r="R106" s="61">
        <v>34187</v>
      </c>
      <c r="S106" s="61">
        <v>34187</v>
      </c>
      <c r="T106" s="61">
        <v>34187</v>
      </c>
      <c r="U106" s="61">
        <v>34187</v>
      </c>
      <c r="V106" s="61">
        <v>34187</v>
      </c>
      <c r="W106" s="61">
        <v>34187</v>
      </c>
      <c r="X106" s="61">
        <v>34187</v>
      </c>
      <c r="Y106" s="61">
        <v>34187</v>
      </c>
      <c r="Z106" s="61">
        <v>34187</v>
      </c>
      <c r="AA106" s="61">
        <v>34187</v>
      </c>
    </row>
    <row r="107" spans="2:27" ht="17" outlineLevel="3">
      <c r="B107" s="25" t="s">
        <v>67</v>
      </c>
      <c r="C107" s="20"/>
      <c r="F107">
        <f t="shared" ref="F107:K107" si="30">+IF(ISERROR(F106/F105),0,F106/F105)</f>
        <v>0</v>
      </c>
      <c r="G107">
        <f>+H107</f>
        <v>100.55</v>
      </c>
      <c r="H107">
        <f t="shared" si="30"/>
        <v>100.55</v>
      </c>
      <c r="I107">
        <f t="shared" si="30"/>
        <v>100.55</v>
      </c>
      <c r="J107">
        <f t="shared" si="30"/>
        <v>100.55</v>
      </c>
      <c r="K107">
        <f t="shared" si="30"/>
        <v>100.55</v>
      </c>
      <c r="L107">
        <f t="shared" ref="L107:AA107" si="31">+IF(ISERROR(L106/L105),0,L106/L105)</f>
        <v>100.55</v>
      </c>
      <c r="M107">
        <f t="shared" si="31"/>
        <v>100.55</v>
      </c>
      <c r="N107">
        <f t="shared" si="31"/>
        <v>100.55</v>
      </c>
      <c r="O107">
        <f t="shared" si="31"/>
        <v>100.55</v>
      </c>
      <c r="P107">
        <f t="shared" si="31"/>
        <v>100.55</v>
      </c>
      <c r="Q107">
        <f t="shared" si="31"/>
        <v>100.55</v>
      </c>
      <c r="R107">
        <f t="shared" si="31"/>
        <v>100.55</v>
      </c>
      <c r="S107">
        <f t="shared" si="31"/>
        <v>100.55</v>
      </c>
      <c r="T107">
        <f t="shared" si="31"/>
        <v>100.55</v>
      </c>
      <c r="U107">
        <f t="shared" si="31"/>
        <v>100.55</v>
      </c>
      <c r="V107">
        <f t="shared" si="31"/>
        <v>100.55</v>
      </c>
      <c r="W107">
        <f t="shared" si="31"/>
        <v>100.55</v>
      </c>
      <c r="X107">
        <f t="shared" si="31"/>
        <v>100.55</v>
      </c>
      <c r="Y107">
        <f t="shared" si="31"/>
        <v>100.55</v>
      </c>
      <c r="Z107">
        <f t="shared" si="31"/>
        <v>100.55</v>
      </c>
      <c r="AA107">
        <f t="shared" si="31"/>
        <v>100.55</v>
      </c>
    </row>
    <row r="108" spans="2:27" ht="17" outlineLevel="2">
      <c r="B108" s="22" t="s">
        <v>216</v>
      </c>
      <c r="C108" s="20"/>
      <c r="G108" s="26"/>
      <c r="H108" s="26"/>
    </row>
    <row r="109" spans="2:27" ht="34" outlineLevel="3">
      <c r="B109" s="25" t="s">
        <v>217</v>
      </c>
      <c r="C109" s="20"/>
      <c r="G109" s="69"/>
      <c r="H109" s="69"/>
      <c r="I109" s="66"/>
      <c r="J109" s="66">
        <v>340</v>
      </c>
      <c r="K109" s="66">
        <v>340</v>
      </c>
      <c r="L109" s="66">
        <f>+K109</f>
        <v>340</v>
      </c>
      <c r="M109" s="66">
        <f t="shared" ref="M109:AA109" si="32">+L109</f>
        <v>340</v>
      </c>
      <c r="N109" s="66">
        <f t="shared" si="32"/>
        <v>340</v>
      </c>
      <c r="O109" s="66">
        <f t="shared" si="32"/>
        <v>340</v>
      </c>
      <c r="P109" s="66">
        <f t="shared" si="32"/>
        <v>340</v>
      </c>
      <c r="Q109" s="66">
        <f t="shared" si="32"/>
        <v>340</v>
      </c>
      <c r="R109" s="66">
        <f t="shared" si="32"/>
        <v>340</v>
      </c>
      <c r="S109" s="66">
        <f t="shared" si="32"/>
        <v>340</v>
      </c>
      <c r="T109" s="66">
        <f t="shared" si="32"/>
        <v>340</v>
      </c>
      <c r="U109" s="66">
        <f t="shared" si="32"/>
        <v>340</v>
      </c>
      <c r="V109" s="66">
        <f t="shared" si="32"/>
        <v>340</v>
      </c>
      <c r="W109" s="66">
        <f t="shared" si="32"/>
        <v>340</v>
      </c>
      <c r="X109" s="66">
        <f t="shared" si="32"/>
        <v>340</v>
      </c>
      <c r="Y109" s="66">
        <f t="shared" si="32"/>
        <v>340</v>
      </c>
      <c r="Z109" s="66">
        <f t="shared" si="32"/>
        <v>340</v>
      </c>
      <c r="AA109" s="66">
        <f t="shared" si="32"/>
        <v>340</v>
      </c>
    </row>
    <row r="110" spans="2:27" ht="34" outlineLevel="3">
      <c r="B110" s="25" t="s">
        <v>218</v>
      </c>
      <c r="C110" s="20"/>
      <c r="G110" s="69"/>
      <c r="H110" s="69"/>
      <c r="I110" s="66"/>
      <c r="J110" s="66">
        <f>+J106</f>
        <v>34187</v>
      </c>
      <c r="K110" s="66">
        <f>+K106</f>
        <v>34187</v>
      </c>
      <c r="L110" s="66">
        <f>+K110</f>
        <v>34187</v>
      </c>
      <c r="M110" s="66">
        <f t="shared" ref="M110:AA110" si="33">+L110</f>
        <v>34187</v>
      </c>
      <c r="N110" s="66">
        <f t="shared" si="33"/>
        <v>34187</v>
      </c>
      <c r="O110" s="66">
        <f t="shared" si="33"/>
        <v>34187</v>
      </c>
      <c r="P110" s="66">
        <f t="shared" si="33"/>
        <v>34187</v>
      </c>
      <c r="Q110" s="66">
        <f t="shared" si="33"/>
        <v>34187</v>
      </c>
      <c r="R110" s="66">
        <f t="shared" si="33"/>
        <v>34187</v>
      </c>
      <c r="S110" s="66">
        <f t="shared" si="33"/>
        <v>34187</v>
      </c>
      <c r="T110" s="66">
        <f t="shared" si="33"/>
        <v>34187</v>
      </c>
      <c r="U110" s="66">
        <f t="shared" si="33"/>
        <v>34187</v>
      </c>
      <c r="V110" s="66">
        <f t="shared" si="33"/>
        <v>34187</v>
      </c>
      <c r="W110" s="66">
        <f t="shared" si="33"/>
        <v>34187</v>
      </c>
      <c r="X110" s="66">
        <f t="shared" si="33"/>
        <v>34187</v>
      </c>
      <c r="Y110" s="66">
        <f t="shared" si="33"/>
        <v>34187</v>
      </c>
      <c r="Z110" s="66">
        <f t="shared" si="33"/>
        <v>34187</v>
      </c>
      <c r="AA110" s="66">
        <f t="shared" si="33"/>
        <v>34187</v>
      </c>
    </row>
    <row r="111" spans="2:27" ht="17" outlineLevel="3">
      <c r="B111" s="25" t="s">
        <v>219</v>
      </c>
      <c r="C111" s="20"/>
      <c r="G111" s="26">
        <f t="shared" ref="G111:AA111" si="34">+IF(ISERROR(G110/G109),0,G110/G109)</f>
        <v>0</v>
      </c>
      <c r="H111" s="26">
        <f t="shared" si="34"/>
        <v>0</v>
      </c>
      <c r="I111" s="26">
        <f t="shared" si="34"/>
        <v>0</v>
      </c>
      <c r="J111" s="26">
        <f t="shared" si="34"/>
        <v>100.55</v>
      </c>
      <c r="K111" s="26">
        <f t="shared" si="34"/>
        <v>100.55</v>
      </c>
      <c r="L111" s="26">
        <f t="shared" si="34"/>
        <v>100.55</v>
      </c>
      <c r="M111" s="26">
        <f t="shared" si="34"/>
        <v>100.55</v>
      </c>
      <c r="N111" s="26">
        <f t="shared" si="34"/>
        <v>100.55</v>
      </c>
      <c r="O111" s="26">
        <f t="shared" si="34"/>
        <v>100.55</v>
      </c>
      <c r="P111" s="26">
        <f t="shared" si="34"/>
        <v>100.55</v>
      </c>
      <c r="Q111" s="26">
        <f t="shared" si="34"/>
        <v>100.55</v>
      </c>
      <c r="R111" s="26">
        <f t="shared" si="34"/>
        <v>100.55</v>
      </c>
      <c r="S111" s="26">
        <f t="shared" si="34"/>
        <v>100.55</v>
      </c>
      <c r="T111" s="26">
        <f t="shared" si="34"/>
        <v>100.55</v>
      </c>
      <c r="U111" s="26">
        <f t="shared" si="34"/>
        <v>100.55</v>
      </c>
      <c r="V111" s="26">
        <f t="shared" si="34"/>
        <v>100.55</v>
      </c>
      <c r="W111" s="26">
        <f t="shared" si="34"/>
        <v>100.55</v>
      </c>
      <c r="X111" s="26">
        <f t="shared" si="34"/>
        <v>100.55</v>
      </c>
      <c r="Y111" s="26">
        <f t="shared" si="34"/>
        <v>100.55</v>
      </c>
      <c r="Z111" s="26">
        <f t="shared" si="34"/>
        <v>100.55</v>
      </c>
      <c r="AA111" s="26">
        <f t="shared" si="34"/>
        <v>100.55</v>
      </c>
    </row>
    <row r="112" spans="2:27" ht="17" outlineLevel="2">
      <c r="B112" s="22" t="s">
        <v>68</v>
      </c>
      <c r="C112" s="20"/>
    </row>
    <row r="113" spans="2:27" ht="34" outlineLevel="2">
      <c r="B113" s="22" t="s">
        <v>221</v>
      </c>
      <c r="C113" s="20" t="s">
        <v>53</v>
      </c>
      <c r="D113" s="1">
        <v>0.11</v>
      </c>
      <c r="F113">
        <v>0</v>
      </c>
      <c r="G113" s="60"/>
      <c r="H113" s="60"/>
      <c r="I113" s="60">
        <v>4405</v>
      </c>
      <c r="J113" s="60">
        <v>0</v>
      </c>
      <c r="K113" s="60"/>
      <c r="L113" s="60"/>
    </row>
    <row r="114" spans="2:27" outlineLevel="2">
      <c r="B114" s="19" t="s">
        <v>55</v>
      </c>
      <c r="C114" s="20"/>
      <c r="F114" s="13"/>
      <c r="G114" s="70"/>
      <c r="H114" s="70"/>
      <c r="I114" s="70">
        <v>0.25</v>
      </c>
      <c r="J114" s="70">
        <v>1</v>
      </c>
      <c r="K114" s="70">
        <v>1</v>
      </c>
      <c r="L114" s="70">
        <v>1</v>
      </c>
      <c r="M114" s="70">
        <v>1</v>
      </c>
      <c r="N114" s="70">
        <v>1</v>
      </c>
      <c r="O114" s="70">
        <v>1</v>
      </c>
      <c r="P114" s="70">
        <v>1</v>
      </c>
      <c r="Q114" s="70">
        <v>1</v>
      </c>
      <c r="R114" s="70">
        <v>1</v>
      </c>
      <c r="S114" s="70">
        <v>1</v>
      </c>
      <c r="T114" s="70">
        <v>1</v>
      </c>
      <c r="U114" s="70">
        <v>1</v>
      </c>
      <c r="V114" s="70">
        <v>1</v>
      </c>
      <c r="W114" s="70">
        <v>1</v>
      </c>
      <c r="X114" s="70">
        <v>1</v>
      </c>
      <c r="Y114" s="70">
        <v>1</v>
      </c>
      <c r="Z114" s="70">
        <v>1</v>
      </c>
      <c r="AA114" s="70">
        <v>1</v>
      </c>
    </row>
    <row r="115" spans="2:27" outlineLevel="2">
      <c r="B115" s="19" t="s">
        <v>224</v>
      </c>
      <c r="C115" s="20"/>
      <c r="F115" s="13"/>
      <c r="G115" s="64">
        <f t="shared" ref="G115:L115" si="35">+G114*G106</f>
        <v>0</v>
      </c>
      <c r="H115" s="64">
        <f t="shared" si="35"/>
        <v>0</v>
      </c>
      <c r="I115" s="64">
        <f t="shared" si="35"/>
        <v>8546.75</v>
      </c>
      <c r="J115" s="64">
        <f t="shared" si="35"/>
        <v>34187</v>
      </c>
      <c r="K115" s="64">
        <f t="shared" si="35"/>
        <v>34187</v>
      </c>
      <c r="L115" s="64">
        <f t="shared" si="35"/>
        <v>34187</v>
      </c>
      <c r="M115" s="64">
        <f t="shared" ref="M115:AA115" si="36">+M114*M106</f>
        <v>34187</v>
      </c>
      <c r="N115" s="64">
        <f t="shared" si="36"/>
        <v>34187</v>
      </c>
      <c r="O115" s="64">
        <f t="shared" si="36"/>
        <v>34187</v>
      </c>
      <c r="P115" s="64">
        <f t="shared" si="36"/>
        <v>34187</v>
      </c>
      <c r="Q115" s="64">
        <f t="shared" si="36"/>
        <v>34187</v>
      </c>
      <c r="R115" s="64">
        <f t="shared" si="36"/>
        <v>34187</v>
      </c>
      <c r="S115" s="64">
        <f t="shared" si="36"/>
        <v>34187</v>
      </c>
      <c r="T115" s="64">
        <f t="shared" si="36"/>
        <v>34187</v>
      </c>
      <c r="U115" s="64">
        <f t="shared" si="36"/>
        <v>34187</v>
      </c>
      <c r="V115" s="64">
        <f t="shared" si="36"/>
        <v>34187</v>
      </c>
      <c r="W115" s="64">
        <f t="shared" si="36"/>
        <v>34187</v>
      </c>
      <c r="X115" s="64">
        <f t="shared" si="36"/>
        <v>34187</v>
      </c>
      <c r="Y115" s="64">
        <f t="shared" si="36"/>
        <v>34187</v>
      </c>
      <c r="Z115" s="64">
        <f t="shared" si="36"/>
        <v>34187</v>
      </c>
      <c r="AA115" s="64">
        <f t="shared" si="36"/>
        <v>34187</v>
      </c>
    </row>
    <row r="116" spans="2:27" outlineLevel="2">
      <c r="B116" s="19" t="s">
        <v>225</v>
      </c>
      <c r="C116" s="20"/>
      <c r="G116" s="65">
        <f t="shared" ref="G116:L116" si="37">+G117+G118+G119+G120+G121</f>
        <v>0</v>
      </c>
      <c r="H116" s="65">
        <f t="shared" si="37"/>
        <v>0</v>
      </c>
      <c r="I116" s="65">
        <f t="shared" si="37"/>
        <v>6488.5899323675658</v>
      </c>
      <c r="J116" s="65">
        <f t="shared" si="37"/>
        <v>25954.359729470263</v>
      </c>
      <c r="K116" s="65">
        <f t="shared" si="37"/>
        <v>25954.359729470263</v>
      </c>
      <c r="L116" s="65">
        <f t="shared" si="37"/>
        <v>25954.359729470263</v>
      </c>
      <c r="M116" s="65">
        <f t="shared" ref="M116:AA116" si="38">+M117+M118+M119+M120+M121</f>
        <v>25954.359729470263</v>
      </c>
      <c r="N116" s="65">
        <f t="shared" si="38"/>
        <v>25954.359729470263</v>
      </c>
      <c r="O116" s="65">
        <f t="shared" si="38"/>
        <v>25954.359729470263</v>
      </c>
      <c r="P116" s="65">
        <f t="shared" si="38"/>
        <v>25954.359729470263</v>
      </c>
      <c r="Q116" s="65">
        <f t="shared" si="38"/>
        <v>25954.359729470263</v>
      </c>
      <c r="R116" s="65">
        <f t="shared" si="38"/>
        <v>25954.359729470263</v>
      </c>
      <c r="S116" s="65">
        <f t="shared" si="38"/>
        <v>25954.359729470263</v>
      </c>
      <c r="T116" s="65">
        <f t="shared" si="38"/>
        <v>25954.359729470263</v>
      </c>
      <c r="U116" s="65">
        <f t="shared" si="38"/>
        <v>25954.359729470263</v>
      </c>
      <c r="V116" s="65">
        <f t="shared" si="38"/>
        <v>25954.359729470263</v>
      </c>
      <c r="W116" s="65">
        <f t="shared" si="38"/>
        <v>25954.359729470263</v>
      </c>
      <c r="X116" s="65">
        <f t="shared" si="38"/>
        <v>25954.359729470263</v>
      </c>
      <c r="Y116" s="65">
        <f t="shared" si="38"/>
        <v>25954.359729470263</v>
      </c>
      <c r="Z116" s="65">
        <f t="shared" si="38"/>
        <v>25954.359729470263</v>
      </c>
      <c r="AA116" s="65">
        <f t="shared" si="38"/>
        <v>25954.359729470263</v>
      </c>
    </row>
    <row r="117" spans="2:27" s="4" customFormat="1" outlineLevel="3">
      <c r="B117" s="21" t="s">
        <v>7</v>
      </c>
      <c r="C117" s="21"/>
      <c r="D117" s="23"/>
      <c r="G117" s="65">
        <f>+G115*'Reg Proy Inmob'!$C99</f>
        <v>0</v>
      </c>
      <c r="H117" s="65">
        <f>+H115*'Reg Proy Inmob'!$C99</f>
        <v>0</v>
      </c>
      <c r="I117" s="65">
        <f>+I115*'Reg Proy Inmob'!$C99</f>
        <v>0</v>
      </c>
      <c r="J117" s="65">
        <f>+J115*'Reg Proy Inmob'!$C99</f>
        <v>0</v>
      </c>
      <c r="K117" s="65">
        <f>+K115*'Reg Proy Inmob'!$C99</f>
        <v>0</v>
      </c>
      <c r="L117" s="65">
        <f>+L115*'Reg Proy Inmob'!$C99</f>
        <v>0</v>
      </c>
      <c r="M117" s="65">
        <f>+M115*'Reg Proy Inmob'!$C99</f>
        <v>0</v>
      </c>
      <c r="N117" s="65">
        <f>+N115*'Reg Proy Inmob'!$C99</f>
        <v>0</v>
      </c>
      <c r="O117" s="65">
        <f>+O115*'Reg Proy Inmob'!$C99</f>
        <v>0</v>
      </c>
      <c r="P117" s="65">
        <f>+P115*'Reg Proy Inmob'!$C99</f>
        <v>0</v>
      </c>
      <c r="Q117" s="65">
        <f>+Q115*'Reg Proy Inmob'!$C99</f>
        <v>0</v>
      </c>
      <c r="R117" s="65">
        <f>+R115*'Reg Proy Inmob'!$C99</f>
        <v>0</v>
      </c>
      <c r="S117" s="65">
        <f>+S115*'Reg Proy Inmob'!$C99</f>
        <v>0</v>
      </c>
      <c r="T117" s="65">
        <f>+T115*'Reg Proy Inmob'!$C99</f>
        <v>0</v>
      </c>
      <c r="U117" s="65">
        <f>+U115*'Reg Proy Inmob'!$C99</f>
        <v>0</v>
      </c>
      <c r="V117" s="65">
        <f>+V115*'Reg Proy Inmob'!$C99</f>
        <v>0</v>
      </c>
      <c r="W117" s="65">
        <f>+W115*'Reg Proy Inmob'!$C99</f>
        <v>0</v>
      </c>
      <c r="X117" s="65">
        <f>+X115*'Reg Proy Inmob'!$C99</f>
        <v>0</v>
      </c>
      <c r="Y117" s="65">
        <f>+Y115*'Reg Proy Inmob'!$C99</f>
        <v>0</v>
      </c>
      <c r="Z117" s="65">
        <f>+Z115*'Reg Proy Inmob'!$C99</f>
        <v>0</v>
      </c>
      <c r="AA117" s="65">
        <f>+AA115*'Reg Proy Inmob'!$C99</f>
        <v>0</v>
      </c>
    </row>
    <row r="118" spans="2:27" s="4" customFormat="1" outlineLevel="3">
      <c r="B118" s="21" t="s">
        <v>11</v>
      </c>
      <c r="C118" s="72"/>
      <c r="D118" s="23"/>
      <c r="G118" s="65">
        <f>+G115*'Reg Proy Inmob'!$C100</f>
        <v>0</v>
      </c>
      <c r="H118" s="65">
        <f>+H115*'Reg Proy Inmob'!$C100</f>
        <v>0</v>
      </c>
      <c r="I118" s="65">
        <f>+I115*'Reg Proy Inmob'!$C100</f>
        <v>0</v>
      </c>
      <c r="J118" s="65">
        <f>+J115*'Reg Proy Inmob'!$C100</f>
        <v>0</v>
      </c>
      <c r="K118" s="65">
        <f>+K115*'Reg Proy Inmob'!$C100</f>
        <v>0</v>
      </c>
      <c r="L118" s="65">
        <f>+L115*'Reg Proy Inmob'!$C100</f>
        <v>0</v>
      </c>
      <c r="M118" s="65">
        <f>+M115*'Reg Proy Inmob'!$C100</f>
        <v>0</v>
      </c>
      <c r="N118" s="65">
        <f>+N115*'Reg Proy Inmob'!$C100</f>
        <v>0</v>
      </c>
      <c r="O118" s="65">
        <f>+O115*'Reg Proy Inmob'!$C100</f>
        <v>0</v>
      </c>
      <c r="P118" s="65">
        <f>+P115*'Reg Proy Inmob'!$C100</f>
        <v>0</v>
      </c>
      <c r="Q118" s="65">
        <f>+Q115*'Reg Proy Inmob'!$C100</f>
        <v>0</v>
      </c>
      <c r="R118" s="65">
        <f>+R115*'Reg Proy Inmob'!$C100</f>
        <v>0</v>
      </c>
      <c r="S118" s="65">
        <f>+S115*'Reg Proy Inmob'!$C100</f>
        <v>0</v>
      </c>
      <c r="T118" s="65">
        <f>+T115*'Reg Proy Inmob'!$C100</f>
        <v>0</v>
      </c>
      <c r="U118" s="65">
        <f>+U115*'Reg Proy Inmob'!$C100</f>
        <v>0</v>
      </c>
      <c r="V118" s="65">
        <f>+V115*'Reg Proy Inmob'!$C100</f>
        <v>0</v>
      </c>
      <c r="W118" s="65">
        <f>+W115*'Reg Proy Inmob'!$C100</f>
        <v>0</v>
      </c>
      <c r="X118" s="65">
        <f>+X115*'Reg Proy Inmob'!$C100</f>
        <v>0</v>
      </c>
      <c r="Y118" s="65">
        <f>+Y115*'Reg Proy Inmob'!$C100</f>
        <v>0</v>
      </c>
      <c r="Z118" s="65">
        <f>+Z115*'Reg Proy Inmob'!$C100</f>
        <v>0</v>
      </c>
      <c r="AA118" s="65">
        <f>+AA115*'Reg Proy Inmob'!$C100</f>
        <v>0</v>
      </c>
    </row>
    <row r="119" spans="2:27" s="4" customFormat="1" outlineLevel="3">
      <c r="B119" s="21" t="s">
        <v>6</v>
      </c>
      <c r="C119" s="72"/>
      <c r="G119" s="65">
        <f>+G115*'Reg Proy Inmob'!$C102</f>
        <v>0</v>
      </c>
      <c r="H119" s="65">
        <f>+H115*'Reg Proy Inmob'!$C102</f>
        <v>0</v>
      </c>
      <c r="I119" s="65">
        <f>+I115*'Reg Proy Inmob'!$C102</f>
        <v>5504.5328503654991</v>
      </c>
      <c r="J119" s="65">
        <f>+J115*'Reg Proy Inmob'!$C102</f>
        <v>22018.131401461997</v>
      </c>
      <c r="K119" s="65">
        <f>+K115*'Reg Proy Inmob'!$C102</f>
        <v>22018.131401461997</v>
      </c>
      <c r="L119" s="65">
        <f>+L115*'Reg Proy Inmob'!$C102</f>
        <v>22018.131401461997</v>
      </c>
      <c r="M119" s="65">
        <f>+M115*'Reg Proy Inmob'!$C102</f>
        <v>22018.131401461997</v>
      </c>
      <c r="N119" s="65">
        <f>+N115*'Reg Proy Inmob'!$C102</f>
        <v>22018.131401461997</v>
      </c>
      <c r="O119" s="65">
        <f>+O115*'Reg Proy Inmob'!$C102</f>
        <v>22018.131401461997</v>
      </c>
      <c r="P119" s="65">
        <f>+P115*'Reg Proy Inmob'!$C102</f>
        <v>22018.131401461997</v>
      </c>
      <c r="Q119" s="65">
        <f>+Q115*'Reg Proy Inmob'!$C102</f>
        <v>22018.131401461997</v>
      </c>
      <c r="R119" s="65">
        <f>+R115*'Reg Proy Inmob'!$C102</f>
        <v>22018.131401461997</v>
      </c>
      <c r="S119" s="65">
        <f>+S115*'Reg Proy Inmob'!$C102</f>
        <v>22018.131401461997</v>
      </c>
      <c r="T119" s="65">
        <f>+T115*'Reg Proy Inmob'!$C102</f>
        <v>22018.131401461997</v>
      </c>
      <c r="U119" s="65">
        <f>+U115*'Reg Proy Inmob'!$C102</f>
        <v>22018.131401461997</v>
      </c>
      <c r="V119" s="65">
        <f>+V115*'Reg Proy Inmob'!$C102</f>
        <v>22018.131401461997</v>
      </c>
      <c r="W119" s="65">
        <f>+W115*'Reg Proy Inmob'!$C102</f>
        <v>22018.131401461997</v>
      </c>
      <c r="X119" s="65">
        <f>+X115*'Reg Proy Inmob'!$C102</f>
        <v>22018.131401461997</v>
      </c>
      <c r="Y119" s="65">
        <f>+Y115*'Reg Proy Inmob'!$C102</f>
        <v>22018.131401461997</v>
      </c>
      <c r="Z119" s="65">
        <f>+Z115*'Reg Proy Inmob'!$C102</f>
        <v>22018.131401461997</v>
      </c>
      <c r="AA119" s="65">
        <f>+AA115*'Reg Proy Inmob'!$C102</f>
        <v>22018.131401461997</v>
      </c>
    </row>
    <row r="120" spans="2:27" s="4" customFormat="1" outlineLevel="3">
      <c r="B120" s="21" t="s">
        <v>222</v>
      </c>
      <c r="C120" s="72"/>
      <c r="D120" s="8"/>
      <c r="G120" s="65">
        <f>+G115*'Reg Proy Inmob'!$C104</f>
        <v>0</v>
      </c>
      <c r="H120" s="65">
        <f>+H115*'Reg Proy Inmob'!$C104</f>
        <v>0</v>
      </c>
      <c r="I120" s="65">
        <f>+I115*'Reg Proy Inmob'!$C104</f>
        <v>984.05708200206675</v>
      </c>
      <c r="J120" s="65">
        <f>+J115*'Reg Proy Inmob'!$C104</f>
        <v>3936.228328008267</v>
      </c>
      <c r="K120" s="65">
        <f>+K115*'Reg Proy Inmob'!$C104</f>
        <v>3936.228328008267</v>
      </c>
      <c r="L120" s="65">
        <f>+L115*'Reg Proy Inmob'!$C104</f>
        <v>3936.228328008267</v>
      </c>
      <c r="M120" s="65">
        <f>+M115*'Reg Proy Inmob'!$C104</f>
        <v>3936.228328008267</v>
      </c>
      <c r="N120" s="65">
        <f>+N115*'Reg Proy Inmob'!$C104</f>
        <v>3936.228328008267</v>
      </c>
      <c r="O120" s="65">
        <f>+O115*'Reg Proy Inmob'!$C104</f>
        <v>3936.228328008267</v>
      </c>
      <c r="P120" s="65">
        <f>+P115*'Reg Proy Inmob'!$C104</f>
        <v>3936.228328008267</v>
      </c>
      <c r="Q120" s="65">
        <f>+Q115*'Reg Proy Inmob'!$C104</f>
        <v>3936.228328008267</v>
      </c>
      <c r="R120" s="65">
        <f>+R115*'Reg Proy Inmob'!$C104</f>
        <v>3936.228328008267</v>
      </c>
      <c r="S120" s="65">
        <f>+S115*'Reg Proy Inmob'!$C104</f>
        <v>3936.228328008267</v>
      </c>
      <c r="T120" s="65">
        <f>+T115*'Reg Proy Inmob'!$C104</f>
        <v>3936.228328008267</v>
      </c>
      <c r="U120" s="65">
        <f>+U115*'Reg Proy Inmob'!$C104</f>
        <v>3936.228328008267</v>
      </c>
      <c r="V120" s="65">
        <f>+V115*'Reg Proy Inmob'!$C104</f>
        <v>3936.228328008267</v>
      </c>
      <c r="W120" s="65">
        <f>+W115*'Reg Proy Inmob'!$C104</f>
        <v>3936.228328008267</v>
      </c>
      <c r="X120" s="65">
        <f>+X115*'Reg Proy Inmob'!$C104</f>
        <v>3936.228328008267</v>
      </c>
      <c r="Y120" s="65">
        <f>+Y115*'Reg Proy Inmob'!$C104</f>
        <v>3936.228328008267</v>
      </c>
      <c r="Z120" s="65">
        <f>+Z115*'Reg Proy Inmob'!$C104</f>
        <v>3936.228328008267</v>
      </c>
      <c r="AA120" s="65">
        <f>+AA115*'Reg Proy Inmob'!$C104</f>
        <v>3936.228328008267</v>
      </c>
    </row>
    <row r="121" spans="2:27" s="4" customFormat="1" ht="34" outlineLevel="3">
      <c r="B121" s="25" t="s">
        <v>56</v>
      </c>
      <c r="C121" s="72"/>
      <c r="G121" s="65">
        <f>+G115*'Reg Proy Inmob'!$C101</f>
        <v>0</v>
      </c>
      <c r="H121" s="65">
        <f>+H115*'Reg Proy Inmob'!$C101</f>
        <v>0</v>
      </c>
      <c r="I121" s="65">
        <f>+I115*'Reg Proy Inmob'!$C101</f>
        <v>0</v>
      </c>
      <c r="J121" s="65">
        <f>+J115*'Reg Proy Inmob'!$C101</f>
        <v>0</v>
      </c>
      <c r="K121" s="65">
        <f>+K115*'Reg Proy Inmob'!$C101</f>
        <v>0</v>
      </c>
      <c r="L121" s="65">
        <f>+L115*'Reg Proy Inmob'!$C101</f>
        <v>0</v>
      </c>
      <c r="M121" s="65">
        <f>+M115*'Reg Proy Inmob'!$C101</f>
        <v>0</v>
      </c>
      <c r="N121" s="65">
        <f>+N115*'Reg Proy Inmob'!$C101</f>
        <v>0</v>
      </c>
      <c r="O121" s="65">
        <f>+O115*'Reg Proy Inmob'!$C101</f>
        <v>0</v>
      </c>
      <c r="P121" s="65">
        <f>+P115*'Reg Proy Inmob'!$C101</f>
        <v>0</v>
      </c>
      <c r="Q121" s="65">
        <f>+Q115*'Reg Proy Inmob'!$C101</f>
        <v>0</v>
      </c>
      <c r="R121" s="65">
        <f>+R115*'Reg Proy Inmob'!$C101</f>
        <v>0</v>
      </c>
      <c r="S121" s="65">
        <f>+S115*'Reg Proy Inmob'!$C101</f>
        <v>0</v>
      </c>
      <c r="T121" s="65">
        <f>+T115*'Reg Proy Inmob'!$C101</f>
        <v>0</v>
      </c>
      <c r="U121" s="65">
        <f>+U115*'Reg Proy Inmob'!$C101</f>
        <v>0</v>
      </c>
      <c r="V121" s="65">
        <f>+V115*'Reg Proy Inmob'!$C101</f>
        <v>0</v>
      </c>
      <c r="W121" s="65">
        <f>+W115*'Reg Proy Inmob'!$C101</f>
        <v>0</v>
      </c>
      <c r="X121" s="65">
        <f>+X115*'Reg Proy Inmob'!$C101</f>
        <v>0</v>
      </c>
      <c r="Y121" s="65">
        <f>+Y115*'Reg Proy Inmob'!$C101</f>
        <v>0</v>
      </c>
      <c r="Z121" s="65">
        <f>+Z115*'Reg Proy Inmob'!$C101</f>
        <v>0</v>
      </c>
      <c r="AA121" s="65">
        <f>+AA115*'Reg Proy Inmob'!$C101</f>
        <v>0</v>
      </c>
    </row>
    <row r="122" spans="2:27" s="4" customFormat="1" ht="17" outlineLevel="2">
      <c r="B122" s="22" t="s">
        <v>59</v>
      </c>
      <c r="C122" s="24"/>
      <c r="G122" s="65">
        <f t="shared" ref="G122:L122" si="39">+G123+G124</f>
        <v>0</v>
      </c>
      <c r="H122" s="65">
        <f t="shared" si="39"/>
        <v>0</v>
      </c>
      <c r="I122" s="65">
        <f t="shared" si="39"/>
        <v>5609.4063062545665</v>
      </c>
      <c r="J122" s="65">
        <f t="shared" si="39"/>
        <v>22437.625225018266</v>
      </c>
      <c r="K122" s="65">
        <f t="shared" si="39"/>
        <v>22437.625225018266</v>
      </c>
      <c r="L122" s="65">
        <f t="shared" si="39"/>
        <v>22437.625225018266</v>
      </c>
      <c r="M122" s="65">
        <f t="shared" ref="M122:AA122" si="40">+M123+M124</f>
        <v>22437.625225018266</v>
      </c>
      <c r="N122" s="65">
        <f t="shared" si="40"/>
        <v>22437.625225018266</v>
      </c>
      <c r="O122" s="65">
        <f t="shared" si="40"/>
        <v>22437.625225018266</v>
      </c>
      <c r="P122" s="65">
        <f t="shared" si="40"/>
        <v>22437.625225018266</v>
      </c>
      <c r="Q122" s="65">
        <f t="shared" si="40"/>
        <v>22437.625225018266</v>
      </c>
      <c r="R122" s="65">
        <f t="shared" si="40"/>
        <v>22437.625225018266</v>
      </c>
      <c r="S122" s="65">
        <f t="shared" si="40"/>
        <v>22437.625225018266</v>
      </c>
      <c r="T122" s="65">
        <f t="shared" si="40"/>
        <v>22437.625225018266</v>
      </c>
      <c r="U122" s="65">
        <f t="shared" si="40"/>
        <v>22437.625225018266</v>
      </c>
      <c r="V122" s="65">
        <f t="shared" si="40"/>
        <v>22437.625225018266</v>
      </c>
      <c r="W122" s="65">
        <f t="shared" si="40"/>
        <v>22437.625225018266</v>
      </c>
      <c r="X122" s="65">
        <f t="shared" si="40"/>
        <v>22437.625225018266</v>
      </c>
      <c r="Y122" s="65">
        <f t="shared" si="40"/>
        <v>22437.625225018266</v>
      </c>
      <c r="Z122" s="65">
        <f t="shared" si="40"/>
        <v>22437.625225018266</v>
      </c>
      <c r="AA122" s="65">
        <f t="shared" si="40"/>
        <v>22437.625225018266</v>
      </c>
    </row>
    <row r="123" spans="2:27" s="4" customFormat="1" ht="17" outlineLevel="3">
      <c r="B123" s="25" t="s">
        <v>6</v>
      </c>
      <c r="C123" s="72"/>
      <c r="G123" s="65">
        <f>+G115*'Reg Proy Inmob'!$C103</f>
        <v>0</v>
      </c>
      <c r="H123" s="65">
        <f>+H115*'Reg Proy Inmob'!$C103</f>
        <v>0</v>
      </c>
      <c r="I123" s="65">
        <f>+I115*'Reg Proy Inmob'!$C103</f>
        <v>5135.7420750000001</v>
      </c>
      <c r="J123" s="65">
        <f>+J115*'Reg Proy Inmob'!$C103</f>
        <v>20542.9683</v>
      </c>
      <c r="K123" s="65">
        <f>+K115*'Reg Proy Inmob'!$C103</f>
        <v>20542.9683</v>
      </c>
      <c r="L123" s="65">
        <f>+L115*'Reg Proy Inmob'!$C103</f>
        <v>20542.9683</v>
      </c>
      <c r="M123" s="65">
        <f>+M115*'Reg Proy Inmob'!$C103</f>
        <v>20542.9683</v>
      </c>
      <c r="N123" s="65">
        <f>+N115*'Reg Proy Inmob'!$C103</f>
        <v>20542.9683</v>
      </c>
      <c r="O123" s="65">
        <f>+O115*'Reg Proy Inmob'!$C103</f>
        <v>20542.9683</v>
      </c>
      <c r="P123" s="65">
        <f>+P115*'Reg Proy Inmob'!$C103</f>
        <v>20542.9683</v>
      </c>
      <c r="Q123" s="65">
        <f>+Q115*'Reg Proy Inmob'!$C103</f>
        <v>20542.9683</v>
      </c>
      <c r="R123" s="65">
        <f>+R115*'Reg Proy Inmob'!$C103</f>
        <v>20542.9683</v>
      </c>
      <c r="S123" s="65">
        <f>+S115*'Reg Proy Inmob'!$C103</f>
        <v>20542.9683</v>
      </c>
      <c r="T123" s="65">
        <f>+T115*'Reg Proy Inmob'!$C103</f>
        <v>20542.9683</v>
      </c>
      <c r="U123" s="65">
        <f>+U115*'Reg Proy Inmob'!$C103</f>
        <v>20542.9683</v>
      </c>
      <c r="V123" s="65">
        <f>+V115*'Reg Proy Inmob'!$C103</f>
        <v>20542.9683</v>
      </c>
      <c r="W123" s="65">
        <f>+W115*'Reg Proy Inmob'!$C103</f>
        <v>20542.9683</v>
      </c>
      <c r="X123" s="65">
        <f>+X115*'Reg Proy Inmob'!$C103</f>
        <v>20542.9683</v>
      </c>
      <c r="Y123" s="65">
        <f>+Y115*'Reg Proy Inmob'!$C103</f>
        <v>20542.9683</v>
      </c>
      <c r="Z123" s="65">
        <f>+Z115*'Reg Proy Inmob'!$C103</f>
        <v>20542.9683</v>
      </c>
      <c r="AA123" s="65">
        <f>+AA115*'Reg Proy Inmob'!$C103</f>
        <v>20542.9683</v>
      </c>
    </row>
    <row r="124" spans="2:27" s="4" customFormat="1" ht="17" outlineLevel="3">
      <c r="B124" s="25" t="s">
        <v>222</v>
      </c>
      <c r="C124" s="72"/>
      <c r="G124" s="65">
        <f>+G115*'Reg Proy Inmob'!$C105</f>
        <v>0</v>
      </c>
      <c r="H124" s="65">
        <f>+H115*'Reg Proy Inmob'!$C105</f>
        <v>0</v>
      </c>
      <c r="I124" s="65">
        <f>+I115*'Reg Proy Inmob'!$C105</f>
        <v>473.66423125456669</v>
      </c>
      <c r="J124" s="65">
        <f>+J115*'Reg Proy Inmob'!$C105</f>
        <v>1894.6569250182667</v>
      </c>
      <c r="K124" s="65">
        <f>+K115*'Reg Proy Inmob'!$C105</f>
        <v>1894.6569250182667</v>
      </c>
      <c r="L124" s="65">
        <f>+L115*'Reg Proy Inmob'!$C105</f>
        <v>1894.6569250182667</v>
      </c>
      <c r="M124" s="65">
        <f>+M115*'Reg Proy Inmob'!$C105</f>
        <v>1894.6569250182667</v>
      </c>
      <c r="N124" s="65">
        <f>+N115*'Reg Proy Inmob'!$C105</f>
        <v>1894.6569250182667</v>
      </c>
      <c r="O124" s="65">
        <f>+O115*'Reg Proy Inmob'!$C105</f>
        <v>1894.6569250182667</v>
      </c>
      <c r="P124" s="65">
        <f>+P115*'Reg Proy Inmob'!$C105</f>
        <v>1894.6569250182667</v>
      </c>
      <c r="Q124" s="65">
        <f>+Q115*'Reg Proy Inmob'!$C105</f>
        <v>1894.6569250182667</v>
      </c>
      <c r="R124" s="65">
        <f>+R115*'Reg Proy Inmob'!$C105</f>
        <v>1894.6569250182667</v>
      </c>
      <c r="S124" s="65">
        <f>+S115*'Reg Proy Inmob'!$C105</f>
        <v>1894.6569250182667</v>
      </c>
      <c r="T124" s="65">
        <f>+T115*'Reg Proy Inmob'!$C105</f>
        <v>1894.6569250182667</v>
      </c>
      <c r="U124" s="65">
        <f>+U115*'Reg Proy Inmob'!$C105</f>
        <v>1894.6569250182667</v>
      </c>
      <c r="V124" s="65">
        <f>+V115*'Reg Proy Inmob'!$C105</f>
        <v>1894.6569250182667</v>
      </c>
      <c r="W124" s="65">
        <f>+W115*'Reg Proy Inmob'!$C105</f>
        <v>1894.6569250182667</v>
      </c>
      <c r="X124" s="65">
        <f>+X115*'Reg Proy Inmob'!$C105</f>
        <v>1894.6569250182667</v>
      </c>
      <c r="Y124" s="65">
        <f>+Y115*'Reg Proy Inmob'!$C105</f>
        <v>1894.6569250182667</v>
      </c>
      <c r="Z124" s="65">
        <f>+Z115*'Reg Proy Inmob'!$C105</f>
        <v>1894.6569250182667</v>
      </c>
      <c r="AA124" s="65">
        <f>+AA115*'Reg Proy Inmob'!$C105</f>
        <v>1894.6569250182667</v>
      </c>
    </row>
    <row r="125" spans="2:27" s="4" customFormat="1" ht="17" outlineLevel="2">
      <c r="B125" s="22" t="s">
        <v>60</v>
      </c>
      <c r="C125" s="24"/>
      <c r="G125" s="65">
        <f>-G126+G127+G128+G129+G130+G131+G132+G133</f>
        <v>0</v>
      </c>
      <c r="H125" s="65">
        <f t="shared" ref="H125:AA125" si="41">-H126+H127+H128+H129+H130+H131+H132+H133</f>
        <v>0</v>
      </c>
      <c r="I125" s="65">
        <f t="shared" si="41"/>
        <v>928.8</v>
      </c>
      <c r="J125" s="65">
        <f t="shared" si="41"/>
        <v>2587.9345044519964</v>
      </c>
      <c r="K125" s="65">
        <f t="shared" si="41"/>
        <v>692.93478260869563</v>
      </c>
      <c r="L125" s="65">
        <f t="shared" si="41"/>
        <v>0</v>
      </c>
      <c r="M125" s="65">
        <f t="shared" si="41"/>
        <v>0</v>
      </c>
      <c r="N125" s="65">
        <f t="shared" si="41"/>
        <v>0</v>
      </c>
      <c r="O125" s="65">
        <f t="shared" si="41"/>
        <v>0</v>
      </c>
      <c r="P125" s="65">
        <f t="shared" si="41"/>
        <v>0</v>
      </c>
      <c r="Q125" s="65">
        <f t="shared" si="41"/>
        <v>0</v>
      </c>
      <c r="R125" s="65">
        <f t="shared" si="41"/>
        <v>0</v>
      </c>
      <c r="S125" s="65">
        <f t="shared" si="41"/>
        <v>0</v>
      </c>
      <c r="T125" s="65">
        <f t="shared" si="41"/>
        <v>0</v>
      </c>
      <c r="U125" s="65">
        <f t="shared" si="41"/>
        <v>0</v>
      </c>
      <c r="V125" s="65">
        <f t="shared" si="41"/>
        <v>0</v>
      </c>
      <c r="W125" s="65">
        <f t="shared" si="41"/>
        <v>0</v>
      </c>
      <c r="X125" s="65">
        <f t="shared" si="41"/>
        <v>0</v>
      </c>
      <c r="Y125" s="65">
        <f t="shared" si="41"/>
        <v>0</v>
      </c>
      <c r="Z125" s="65">
        <f t="shared" si="41"/>
        <v>0</v>
      </c>
      <c r="AA125" s="65">
        <f t="shared" si="41"/>
        <v>0</v>
      </c>
    </row>
    <row r="126" spans="2:27" outlineLevel="3">
      <c r="B126" s="21" t="s">
        <v>51</v>
      </c>
      <c r="C126" s="20"/>
      <c r="G126" s="67"/>
      <c r="H126" s="67"/>
      <c r="I126" s="67"/>
      <c r="J126" s="67"/>
      <c r="K126" s="67"/>
      <c r="L126" s="67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38"/>
    </row>
    <row r="127" spans="2:27" outlineLevel="3">
      <c r="B127" s="21" t="s">
        <v>52</v>
      </c>
      <c r="C127" s="20"/>
      <c r="G127" s="67"/>
      <c r="H127" s="67"/>
      <c r="I127" s="67"/>
      <c r="J127" s="67"/>
      <c r="K127" s="67"/>
      <c r="L127" s="67">
        <v>0</v>
      </c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38"/>
    </row>
    <row r="128" spans="2:27" ht="51" outlineLevel="3">
      <c r="B128" s="25" t="s">
        <v>54</v>
      </c>
      <c r="C128" s="20"/>
      <c r="G128" s="67"/>
      <c r="H128" s="67"/>
      <c r="I128" s="67"/>
      <c r="J128" s="67"/>
      <c r="K128" s="67">
        <f>1500-I96</f>
        <v>692.93478260869563</v>
      </c>
      <c r="L128" s="67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38"/>
    </row>
    <row r="129" spans="2:27" s="4" customFormat="1" ht="17" outlineLevel="3">
      <c r="B129" s="25" t="s">
        <v>61</v>
      </c>
      <c r="C129" s="24"/>
      <c r="G129" s="67"/>
      <c r="H129" s="67"/>
      <c r="I129" s="67"/>
      <c r="J129" s="67">
        <f>+J120-J124</f>
        <v>2041.5714029900003</v>
      </c>
      <c r="K129" s="67"/>
      <c r="L129" s="67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57"/>
    </row>
    <row r="130" spans="2:27" s="4" customFormat="1" ht="17" outlineLevel="3">
      <c r="B130" s="25" t="s">
        <v>62</v>
      </c>
      <c r="C130" s="24"/>
      <c r="G130" s="67"/>
      <c r="H130" s="67"/>
      <c r="I130" s="67"/>
      <c r="J130" s="67"/>
      <c r="K130" s="67"/>
      <c r="L130" s="67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57"/>
    </row>
    <row r="131" spans="2:27" s="4" customFormat="1" ht="17" outlineLevel="3">
      <c r="B131" s="25" t="s">
        <v>63</v>
      </c>
      <c r="C131" s="24"/>
      <c r="G131" s="67"/>
      <c r="H131" s="67"/>
      <c r="I131" s="67"/>
      <c r="J131" s="67"/>
      <c r="K131" s="67"/>
      <c r="L131" s="67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57"/>
    </row>
    <row r="132" spans="2:27" s="4" customFormat="1" ht="17" outlineLevel="3">
      <c r="B132" s="25" t="s">
        <v>64</v>
      </c>
      <c r="C132" s="24"/>
      <c r="G132" s="67"/>
      <c r="H132" s="67"/>
      <c r="I132" s="67">
        <v>928.8</v>
      </c>
      <c r="J132" s="67">
        <f>+J119-J123-I132</f>
        <v>546.36310146199617</v>
      </c>
      <c r="K132" s="67"/>
      <c r="L132" s="67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57"/>
    </row>
    <row r="133" spans="2:27" s="4" customFormat="1" ht="34" outlineLevel="3">
      <c r="B133" s="25" t="s">
        <v>65</v>
      </c>
      <c r="C133" s="24"/>
      <c r="G133" s="67"/>
      <c r="H133" s="67"/>
      <c r="I133" s="67"/>
      <c r="J133" s="67"/>
      <c r="K133" s="67"/>
      <c r="L133" s="67">
        <f>+L121</f>
        <v>0</v>
      </c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57"/>
    </row>
    <row r="134" spans="2:27" s="4" customFormat="1" outlineLevel="2">
      <c r="B134" s="25"/>
      <c r="C134" s="24"/>
    </row>
    <row r="135" spans="2:27" outlineLevel="1">
      <c r="B135" s="18" t="s">
        <v>46</v>
      </c>
      <c r="C135" s="20"/>
      <c r="D135" t="s">
        <v>349</v>
      </c>
    </row>
    <row r="136" spans="2:27" outlineLevel="2">
      <c r="B136" s="19" t="s">
        <v>220</v>
      </c>
      <c r="C136" s="20"/>
    </row>
    <row r="137" spans="2:27" ht="34" outlineLevel="3">
      <c r="B137" s="25" t="s">
        <v>58</v>
      </c>
      <c r="C137" s="20"/>
      <c r="G137" s="60"/>
      <c r="H137" s="60"/>
      <c r="I137" s="60"/>
      <c r="J137" s="60"/>
      <c r="K137" s="60"/>
      <c r="L137" s="60"/>
    </row>
    <row r="138" spans="2:27" ht="17" outlineLevel="3">
      <c r="B138" s="25" t="s">
        <v>66</v>
      </c>
      <c r="C138" s="20"/>
      <c r="F138" s="2"/>
      <c r="G138" s="61"/>
      <c r="H138" s="61"/>
      <c r="I138" s="61"/>
      <c r="J138" s="61"/>
      <c r="K138" s="60"/>
      <c r="L138" s="60"/>
    </row>
    <row r="139" spans="2:27" ht="17" outlineLevel="3">
      <c r="B139" s="25" t="s">
        <v>67</v>
      </c>
      <c r="C139" s="20"/>
      <c r="F139">
        <f>+IF(ISERROR(F138/F137),0,F138/F137)</f>
        <v>0</v>
      </c>
      <c r="G139">
        <f>+IF(ISERROR(G138/G137),0,G138/G137)</f>
        <v>0</v>
      </c>
      <c r="H139">
        <f>+IF(ISERROR(H138/H137),0,H138/H137)</f>
        <v>0</v>
      </c>
      <c r="I139">
        <f>+IF(ISERROR(I138/I137),0,I138/I137)</f>
        <v>0</v>
      </c>
      <c r="J139">
        <f t="shared" ref="J139:AA139" si="42">+IF(ISERROR(J138/J137),0,J138/J137)</f>
        <v>0</v>
      </c>
      <c r="K139">
        <f t="shared" si="42"/>
        <v>0</v>
      </c>
      <c r="L139">
        <f t="shared" si="42"/>
        <v>0</v>
      </c>
      <c r="M139">
        <f t="shared" si="42"/>
        <v>0</v>
      </c>
      <c r="N139">
        <f t="shared" si="42"/>
        <v>0</v>
      </c>
      <c r="O139">
        <f t="shared" si="42"/>
        <v>0</v>
      </c>
      <c r="P139">
        <f t="shared" si="42"/>
        <v>0</v>
      </c>
      <c r="Q139">
        <f t="shared" si="42"/>
        <v>0</v>
      </c>
      <c r="R139">
        <f t="shared" si="42"/>
        <v>0</v>
      </c>
      <c r="S139">
        <f t="shared" si="42"/>
        <v>0</v>
      </c>
      <c r="T139">
        <f t="shared" si="42"/>
        <v>0</v>
      </c>
      <c r="U139">
        <f t="shared" si="42"/>
        <v>0</v>
      </c>
      <c r="V139">
        <f t="shared" si="42"/>
        <v>0</v>
      </c>
      <c r="W139">
        <f t="shared" si="42"/>
        <v>0</v>
      </c>
      <c r="X139">
        <f t="shared" si="42"/>
        <v>0</v>
      </c>
      <c r="Y139">
        <f t="shared" si="42"/>
        <v>0</v>
      </c>
      <c r="Z139">
        <f t="shared" si="42"/>
        <v>0</v>
      </c>
      <c r="AA139">
        <f t="shared" si="42"/>
        <v>0</v>
      </c>
    </row>
    <row r="140" spans="2:27" ht="17" outlineLevel="2">
      <c r="B140" s="22" t="s">
        <v>216</v>
      </c>
      <c r="C140" s="20"/>
      <c r="G140" s="26"/>
      <c r="H140" s="26"/>
    </row>
    <row r="141" spans="2:27" ht="34" outlineLevel="3">
      <c r="B141" s="25" t="s">
        <v>217</v>
      </c>
      <c r="C141" s="20"/>
      <c r="G141" s="69"/>
      <c r="H141" s="69"/>
      <c r="I141" s="66"/>
      <c r="J141" s="66"/>
      <c r="K141" s="66"/>
      <c r="L141" s="66"/>
    </row>
    <row r="142" spans="2:27" ht="34" outlineLevel="3">
      <c r="B142" s="25" t="s">
        <v>218</v>
      </c>
      <c r="C142" s="20"/>
      <c r="G142" s="69"/>
      <c r="H142" s="69"/>
      <c r="I142" s="66"/>
      <c r="J142" s="66"/>
      <c r="K142" s="66"/>
      <c r="L142" s="66"/>
    </row>
    <row r="143" spans="2:27" ht="17" outlineLevel="3">
      <c r="B143" s="25" t="s">
        <v>219</v>
      </c>
      <c r="C143" s="20"/>
      <c r="G143" s="26">
        <f>+IF(ISERROR(G142/G141),0,G142/G141)</f>
        <v>0</v>
      </c>
      <c r="H143" s="26">
        <f>+IF(ISERROR(H142/H141),0,H142/H141)</f>
        <v>0</v>
      </c>
      <c r="I143" s="26">
        <f>+IF(ISERROR(I142/I141),0,I142/I141)</f>
        <v>0</v>
      </c>
    </row>
    <row r="144" spans="2:27" ht="17" outlineLevel="2">
      <c r="B144" s="22" t="s">
        <v>68</v>
      </c>
      <c r="C144" s="20"/>
    </row>
    <row r="145" spans="2:27" ht="34" outlineLevel="2">
      <c r="B145" s="22" t="s">
        <v>221</v>
      </c>
      <c r="C145" s="20" t="s">
        <v>53</v>
      </c>
      <c r="D145" s="1">
        <v>0.11</v>
      </c>
      <c r="F145">
        <v>0</v>
      </c>
      <c r="G145" s="60"/>
      <c r="H145" s="60"/>
      <c r="I145" s="60"/>
      <c r="J145" s="60"/>
      <c r="K145" s="60"/>
      <c r="L145" s="60"/>
    </row>
    <row r="146" spans="2:27" outlineLevel="2">
      <c r="B146" s="19" t="s">
        <v>55</v>
      </c>
      <c r="C146" s="20"/>
      <c r="F146" s="13"/>
      <c r="G146" s="70"/>
      <c r="H146" s="70"/>
      <c r="I146" s="70"/>
      <c r="J146" s="70"/>
      <c r="K146" s="70"/>
      <c r="L146" s="70"/>
    </row>
    <row r="147" spans="2:27" outlineLevel="2">
      <c r="B147" s="19" t="s">
        <v>224</v>
      </c>
      <c r="C147" s="20"/>
      <c r="F147" s="13"/>
      <c r="G147" s="64">
        <f t="shared" ref="G147:L147" si="43">+G146*G138</f>
        <v>0</v>
      </c>
      <c r="H147" s="64">
        <f t="shared" si="43"/>
        <v>0</v>
      </c>
      <c r="I147" s="64">
        <f t="shared" si="43"/>
        <v>0</v>
      </c>
      <c r="J147" s="64">
        <f t="shared" si="43"/>
        <v>0</v>
      </c>
      <c r="K147" s="64">
        <f t="shared" si="43"/>
        <v>0</v>
      </c>
      <c r="L147" s="64">
        <f t="shared" si="43"/>
        <v>0</v>
      </c>
    </row>
    <row r="148" spans="2:27" outlineLevel="2">
      <c r="B148" s="19" t="s">
        <v>225</v>
      </c>
      <c r="C148" s="20"/>
      <c r="G148" s="65">
        <f t="shared" ref="G148:L148" si="44">+G149+G150+G151+G152+G153</f>
        <v>0</v>
      </c>
      <c r="H148" s="65">
        <f t="shared" si="44"/>
        <v>0</v>
      </c>
      <c r="I148" s="65">
        <f t="shared" si="44"/>
        <v>0</v>
      </c>
      <c r="J148" s="65">
        <f t="shared" si="44"/>
        <v>0</v>
      </c>
      <c r="K148" s="65">
        <f t="shared" si="44"/>
        <v>0</v>
      </c>
      <c r="L148" s="65">
        <f t="shared" si="44"/>
        <v>0</v>
      </c>
    </row>
    <row r="149" spans="2:27" s="4" customFormat="1" outlineLevel="3">
      <c r="B149" s="21" t="s">
        <v>7</v>
      </c>
      <c r="C149" s="21"/>
      <c r="D149" s="23"/>
      <c r="G149" s="65">
        <f>+G147*'Reg Proy Inmob'!$C113</f>
        <v>0</v>
      </c>
      <c r="H149" s="65">
        <f>+H147*'Reg Proy Inmob'!$C113</f>
        <v>0</v>
      </c>
      <c r="I149" s="65">
        <f>+I147*'Reg Proy Inmob'!$C113</f>
        <v>0</v>
      </c>
      <c r="J149" s="65">
        <f>+J147*'Reg Proy Inmob'!$C113</f>
        <v>0</v>
      </c>
      <c r="K149" s="65">
        <f>+K147*'Reg Proy Inmob'!$C113</f>
        <v>0</v>
      </c>
      <c r="L149" s="65">
        <f>+L147*'Reg Proy Inmob'!$C113</f>
        <v>0</v>
      </c>
    </row>
    <row r="150" spans="2:27" s="4" customFormat="1" outlineLevel="3">
      <c r="B150" s="21" t="s">
        <v>11</v>
      </c>
      <c r="C150" s="72">
        <v>1</v>
      </c>
      <c r="D150" s="23"/>
      <c r="G150" s="65">
        <f>+G147*'Reg Proy Inmob'!$C114</f>
        <v>0</v>
      </c>
      <c r="H150" s="65">
        <f>+H147*'Reg Proy Inmob'!$C114</f>
        <v>0</v>
      </c>
      <c r="I150" s="65">
        <f>+I147*'Reg Proy Inmob'!$C114</f>
        <v>0</v>
      </c>
      <c r="J150" s="65">
        <f>+J147*'Reg Proy Inmob'!$C114</f>
        <v>0</v>
      </c>
      <c r="K150" s="65">
        <f>+K147*'Reg Proy Inmob'!$C114</f>
        <v>0</v>
      </c>
      <c r="L150" s="65">
        <f>+L147*'Reg Proy Inmob'!$C114</f>
        <v>0</v>
      </c>
    </row>
    <row r="151" spans="2:27" s="4" customFormat="1" outlineLevel="3">
      <c r="B151" s="21" t="s">
        <v>6</v>
      </c>
      <c r="C151" s="72">
        <v>2</v>
      </c>
      <c r="G151" s="65">
        <f>+G147*'Reg Proy Inmob'!$C116</f>
        <v>0</v>
      </c>
      <c r="H151" s="65">
        <f>+H147*'Reg Proy Inmob'!$C116</f>
        <v>0</v>
      </c>
      <c r="I151" s="65">
        <f>+I147*'Reg Proy Inmob'!$C116</f>
        <v>0</v>
      </c>
      <c r="J151" s="65">
        <f>+J147*'Reg Proy Inmob'!$C116</f>
        <v>0</v>
      </c>
      <c r="K151" s="65">
        <f>+K147*'Reg Proy Inmob'!$C116</f>
        <v>0</v>
      </c>
      <c r="L151" s="65">
        <f>+L147*'Reg Proy Inmob'!$C116</f>
        <v>0</v>
      </c>
    </row>
    <row r="152" spans="2:27" s="4" customFormat="1" outlineLevel="3">
      <c r="B152" s="21" t="s">
        <v>222</v>
      </c>
      <c r="C152" s="72">
        <v>2</v>
      </c>
      <c r="D152" s="23"/>
      <c r="G152" s="65">
        <f>+G147*'Reg Proy Inmob'!$C118</f>
        <v>0</v>
      </c>
      <c r="H152" s="65">
        <f>+H147*'Reg Proy Inmob'!$C118</f>
        <v>0</v>
      </c>
      <c r="I152" s="65">
        <f>+I147*'Reg Proy Inmob'!$C118</f>
        <v>0</v>
      </c>
      <c r="J152" s="65">
        <f>+J147*'Reg Proy Inmob'!$C118</f>
        <v>0</v>
      </c>
      <c r="K152" s="65">
        <f>+K147*'Reg Proy Inmob'!$C118</f>
        <v>0</v>
      </c>
      <c r="L152" s="65">
        <f>+L147*'Reg Proy Inmob'!$C118</f>
        <v>0</v>
      </c>
    </row>
    <row r="153" spans="2:27" s="4" customFormat="1" ht="34" outlineLevel="3">
      <c r="B153" s="25" t="s">
        <v>56</v>
      </c>
      <c r="C153" s="72">
        <v>-3</v>
      </c>
      <c r="G153" s="65">
        <f>+G147*'Reg Proy Inmob'!$C115</f>
        <v>0</v>
      </c>
      <c r="H153" s="65">
        <f>+H147*'Reg Proy Inmob'!$C115</f>
        <v>0</v>
      </c>
      <c r="I153" s="65">
        <f>+I147*'Reg Proy Inmob'!$C115</f>
        <v>0</v>
      </c>
      <c r="J153" s="65">
        <f>+J147*'Reg Proy Inmob'!$C115</f>
        <v>0</v>
      </c>
      <c r="K153" s="65">
        <f>+K147*'Reg Proy Inmob'!$C115</f>
        <v>0</v>
      </c>
      <c r="L153" s="65">
        <f>+L147*'Reg Proy Inmob'!$C115</f>
        <v>0</v>
      </c>
    </row>
    <row r="154" spans="2:27" s="4" customFormat="1" ht="17" outlineLevel="2">
      <c r="B154" s="22" t="s">
        <v>59</v>
      </c>
      <c r="C154" s="24"/>
      <c r="G154" s="65">
        <f t="shared" ref="G154:L154" si="45">+G155+G156</f>
        <v>0</v>
      </c>
      <c r="H154" s="65">
        <f t="shared" si="45"/>
        <v>0</v>
      </c>
      <c r="I154" s="65">
        <f t="shared" si="45"/>
        <v>0</v>
      </c>
      <c r="J154" s="65">
        <f t="shared" si="45"/>
        <v>0</v>
      </c>
      <c r="K154" s="65">
        <f t="shared" si="45"/>
        <v>0</v>
      </c>
      <c r="L154" s="65">
        <f t="shared" si="45"/>
        <v>0</v>
      </c>
    </row>
    <row r="155" spans="2:27" s="4" customFormat="1" ht="17" outlineLevel="3">
      <c r="B155" s="25" t="s">
        <v>6</v>
      </c>
      <c r="C155" s="72">
        <v>2</v>
      </c>
      <c r="G155" s="65">
        <f>+G147*'Reg Proy Inmob'!$C117</f>
        <v>0</v>
      </c>
      <c r="H155" s="65">
        <f>+H147*'Reg Proy Inmob'!$C117</f>
        <v>0</v>
      </c>
      <c r="I155" s="65">
        <f>+I147*'Reg Proy Inmob'!$C117</f>
        <v>0</v>
      </c>
      <c r="J155" s="65">
        <f>+J147*'Reg Proy Inmob'!$C117</f>
        <v>0</v>
      </c>
      <c r="K155" s="65">
        <f>+K147*'Reg Proy Inmob'!$C117</f>
        <v>0</v>
      </c>
      <c r="L155" s="65">
        <f>+L147*'Reg Proy Inmob'!$C117</f>
        <v>0</v>
      </c>
    </row>
    <row r="156" spans="2:27" s="4" customFormat="1" ht="17" outlineLevel="3">
      <c r="B156" s="25" t="s">
        <v>222</v>
      </c>
      <c r="C156" s="72">
        <v>2</v>
      </c>
      <c r="G156" s="65">
        <f>+G147*'Reg Proy Inmob'!$C119</f>
        <v>0</v>
      </c>
      <c r="H156" s="65">
        <f>+H147*'Reg Proy Inmob'!$C119</f>
        <v>0</v>
      </c>
      <c r="I156" s="65">
        <f>+I147*'Reg Proy Inmob'!$C119</f>
        <v>0</v>
      </c>
      <c r="J156" s="65">
        <f>+J147*'Reg Proy Inmob'!$C119</f>
        <v>0</v>
      </c>
      <c r="K156" s="65">
        <f>+K147*'Reg Proy Inmob'!$C119</f>
        <v>0</v>
      </c>
      <c r="L156" s="65">
        <f>+L147*'Reg Proy Inmob'!$C119</f>
        <v>0</v>
      </c>
    </row>
    <row r="157" spans="2:27" s="4" customFormat="1" ht="17" outlineLevel="2">
      <c r="B157" s="22" t="s">
        <v>60</v>
      </c>
      <c r="C157" s="24"/>
      <c r="G157" s="65">
        <f t="shared" ref="G157:L157" si="46">-G158+G159+G160+G161+G162+G163-G164+G165</f>
        <v>0</v>
      </c>
      <c r="H157" s="65">
        <f t="shared" si="46"/>
        <v>0</v>
      </c>
      <c r="I157" s="65">
        <f t="shared" si="46"/>
        <v>0</v>
      </c>
      <c r="J157" s="65">
        <f t="shared" si="46"/>
        <v>0</v>
      </c>
      <c r="K157" s="65">
        <f t="shared" si="46"/>
        <v>0</v>
      </c>
      <c r="L157" s="65">
        <f t="shared" si="46"/>
        <v>0</v>
      </c>
    </row>
    <row r="158" spans="2:27" outlineLevel="3">
      <c r="B158" s="21" t="s">
        <v>51</v>
      </c>
      <c r="C158" s="20"/>
      <c r="G158" s="67"/>
      <c r="H158" s="67"/>
      <c r="I158" s="67"/>
      <c r="J158" s="67"/>
      <c r="K158" s="67"/>
      <c r="L158" s="67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38"/>
    </row>
    <row r="159" spans="2:27" outlineLevel="3">
      <c r="B159" s="21" t="s">
        <v>52</v>
      </c>
      <c r="C159" s="20"/>
      <c r="G159" s="67"/>
      <c r="H159" s="67"/>
      <c r="I159" s="67"/>
      <c r="J159" s="67"/>
      <c r="K159" s="67"/>
      <c r="L159" s="67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38"/>
    </row>
    <row r="160" spans="2:27" ht="51" outlineLevel="3">
      <c r="B160" s="25" t="s">
        <v>54</v>
      </c>
      <c r="C160" s="20"/>
      <c r="G160" s="67"/>
      <c r="H160" s="67"/>
      <c r="I160" s="67"/>
      <c r="J160" s="67"/>
      <c r="K160" s="67"/>
      <c r="L160" s="67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38"/>
    </row>
    <row r="161" spans="2:27" s="4" customFormat="1" ht="17" outlineLevel="3">
      <c r="B161" s="25" t="s">
        <v>61</v>
      </c>
      <c r="C161" s="24"/>
      <c r="G161" s="67"/>
      <c r="H161" s="67"/>
      <c r="I161" s="67"/>
      <c r="J161" s="67"/>
      <c r="K161" s="67"/>
      <c r="L161" s="67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57"/>
    </row>
    <row r="162" spans="2:27" s="4" customFormat="1" ht="17" outlineLevel="3">
      <c r="B162" s="25" t="s">
        <v>62</v>
      </c>
      <c r="C162" s="24"/>
      <c r="G162" s="67"/>
      <c r="H162" s="67"/>
      <c r="I162" s="67"/>
      <c r="J162" s="67"/>
      <c r="K162" s="67"/>
      <c r="L162" s="67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57"/>
    </row>
    <row r="163" spans="2:27" s="4" customFormat="1" ht="17" outlineLevel="3">
      <c r="B163" s="25" t="s">
        <v>63</v>
      </c>
      <c r="C163" s="24"/>
      <c r="G163" s="67"/>
      <c r="H163" s="67"/>
      <c r="I163" s="67"/>
      <c r="J163" s="67"/>
      <c r="K163" s="67"/>
      <c r="L163" s="67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57"/>
    </row>
    <row r="164" spans="2:27" s="4" customFormat="1" ht="17" outlineLevel="3">
      <c r="B164" s="25" t="s">
        <v>64</v>
      </c>
      <c r="C164" s="24"/>
      <c r="G164" s="67"/>
      <c r="H164" s="67"/>
      <c r="I164" s="67"/>
      <c r="J164" s="67"/>
      <c r="K164" s="67"/>
      <c r="L164" s="67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57"/>
    </row>
    <row r="165" spans="2:27" s="4" customFormat="1" ht="34" outlineLevel="3">
      <c r="B165" s="25" t="s">
        <v>65</v>
      </c>
      <c r="C165" s="24"/>
      <c r="G165" s="67"/>
      <c r="H165" s="67"/>
      <c r="I165" s="67"/>
      <c r="J165" s="67"/>
      <c r="K165" s="67"/>
      <c r="L165" s="67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57"/>
    </row>
    <row r="166" spans="2:27" s="4" customFormat="1" outlineLevel="2">
      <c r="B166" s="25"/>
      <c r="C166" s="24"/>
    </row>
    <row r="167" spans="2:27" outlineLevel="1">
      <c r="B167" s="18" t="s">
        <v>47</v>
      </c>
      <c r="C167" s="20"/>
      <c r="D167" t="s">
        <v>350</v>
      </c>
    </row>
    <row r="168" spans="2:27" outlineLevel="2">
      <c r="B168" s="19" t="s">
        <v>220</v>
      </c>
      <c r="C168" s="20"/>
    </row>
    <row r="169" spans="2:27" ht="34" outlineLevel="3">
      <c r="B169" s="25" t="s">
        <v>58</v>
      </c>
      <c r="C169" s="20"/>
      <c r="F169" s="60">
        <v>132</v>
      </c>
      <c r="G169" s="60">
        <v>144</v>
      </c>
      <c r="H169" s="60">
        <v>154</v>
      </c>
      <c r="I169" s="60">
        <f>+H169</f>
        <v>154</v>
      </c>
      <c r="J169" s="60">
        <f t="shared" ref="J169:AA169" si="47">+I169</f>
        <v>154</v>
      </c>
      <c r="K169" s="60">
        <f t="shared" si="47"/>
        <v>154</v>
      </c>
      <c r="L169" s="60">
        <f t="shared" si="47"/>
        <v>154</v>
      </c>
      <c r="M169" s="60">
        <f t="shared" si="47"/>
        <v>154</v>
      </c>
      <c r="N169" s="60">
        <f t="shared" si="47"/>
        <v>154</v>
      </c>
      <c r="O169" s="60">
        <f t="shared" si="47"/>
        <v>154</v>
      </c>
      <c r="P169" s="60">
        <f t="shared" si="47"/>
        <v>154</v>
      </c>
      <c r="Q169" s="60">
        <f t="shared" si="47"/>
        <v>154</v>
      </c>
      <c r="R169" s="60">
        <f t="shared" si="47"/>
        <v>154</v>
      </c>
      <c r="S169" s="60">
        <f t="shared" si="47"/>
        <v>154</v>
      </c>
      <c r="T169" s="60">
        <f t="shared" si="47"/>
        <v>154</v>
      </c>
      <c r="U169" s="60">
        <f t="shared" si="47"/>
        <v>154</v>
      </c>
      <c r="V169" s="60">
        <f t="shared" si="47"/>
        <v>154</v>
      </c>
      <c r="W169" s="60">
        <f t="shared" si="47"/>
        <v>154</v>
      </c>
      <c r="X169" s="60">
        <f t="shared" si="47"/>
        <v>154</v>
      </c>
      <c r="Y169" s="60">
        <f t="shared" si="47"/>
        <v>154</v>
      </c>
      <c r="Z169" s="60">
        <f t="shared" si="47"/>
        <v>154</v>
      </c>
      <c r="AA169" s="60">
        <f t="shared" si="47"/>
        <v>154</v>
      </c>
    </row>
    <row r="170" spans="2:27" ht="17" outlineLevel="3">
      <c r="B170" s="25" t="s">
        <v>66</v>
      </c>
      <c r="C170" s="20"/>
      <c r="F170" s="61">
        <v>47179.582181999998</v>
      </c>
      <c r="G170" s="61">
        <f>+G171*G169</f>
        <v>50400</v>
      </c>
      <c r="H170" s="61">
        <f>+H171*H169</f>
        <v>53900</v>
      </c>
      <c r="I170" s="61">
        <f>+H170</f>
        <v>53900</v>
      </c>
      <c r="J170" s="61">
        <f t="shared" ref="J170:AA170" si="48">+I170</f>
        <v>53900</v>
      </c>
      <c r="K170" s="61">
        <f t="shared" si="48"/>
        <v>53900</v>
      </c>
      <c r="L170" s="61">
        <f t="shared" si="48"/>
        <v>53900</v>
      </c>
      <c r="M170" s="61">
        <f t="shared" si="48"/>
        <v>53900</v>
      </c>
      <c r="N170" s="61">
        <f t="shared" si="48"/>
        <v>53900</v>
      </c>
      <c r="O170" s="61">
        <f t="shared" si="48"/>
        <v>53900</v>
      </c>
      <c r="P170" s="61">
        <f t="shared" si="48"/>
        <v>53900</v>
      </c>
      <c r="Q170" s="61">
        <f t="shared" si="48"/>
        <v>53900</v>
      </c>
      <c r="R170" s="61">
        <f t="shared" si="48"/>
        <v>53900</v>
      </c>
      <c r="S170" s="61">
        <f t="shared" si="48"/>
        <v>53900</v>
      </c>
      <c r="T170" s="61">
        <f t="shared" si="48"/>
        <v>53900</v>
      </c>
      <c r="U170" s="61">
        <f t="shared" si="48"/>
        <v>53900</v>
      </c>
      <c r="V170" s="61">
        <f t="shared" si="48"/>
        <v>53900</v>
      </c>
      <c r="W170" s="61">
        <f t="shared" si="48"/>
        <v>53900</v>
      </c>
      <c r="X170" s="61">
        <f t="shared" si="48"/>
        <v>53900</v>
      </c>
      <c r="Y170" s="61">
        <f t="shared" si="48"/>
        <v>53900</v>
      </c>
      <c r="Z170" s="61">
        <f t="shared" si="48"/>
        <v>53900</v>
      </c>
      <c r="AA170" s="61">
        <f t="shared" si="48"/>
        <v>53900</v>
      </c>
    </row>
    <row r="171" spans="2:27" ht="17" outlineLevel="3">
      <c r="B171" s="25" t="s">
        <v>67</v>
      </c>
      <c r="C171" s="20"/>
      <c r="F171" s="73">
        <f>+IF(ISERROR(F170/F169),0,F170/F169)</f>
        <v>357.42107713636364</v>
      </c>
      <c r="G171" s="73">
        <v>350</v>
      </c>
      <c r="H171" s="73">
        <v>350</v>
      </c>
      <c r="I171">
        <f>+IF(ISERROR(I170/I169),0,I170/I169)</f>
        <v>350</v>
      </c>
      <c r="J171">
        <f t="shared" ref="J171:AA171" si="49">+IF(ISERROR(J170/J169),0,J170/J169)</f>
        <v>350</v>
      </c>
      <c r="K171">
        <f t="shared" si="49"/>
        <v>350</v>
      </c>
      <c r="L171">
        <f t="shared" si="49"/>
        <v>350</v>
      </c>
      <c r="M171">
        <f t="shared" si="49"/>
        <v>350</v>
      </c>
      <c r="N171">
        <f t="shared" si="49"/>
        <v>350</v>
      </c>
      <c r="O171">
        <f t="shared" si="49"/>
        <v>350</v>
      </c>
      <c r="P171">
        <f t="shared" si="49"/>
        <v>350</v>
      </c>
      <c r="Q171">
        <f t="shared" si="49"/>
        <v>350</v>
      </c>
      <c r="R171">
        <f t="shared" si="49"/>
        <v>350</v>
      </c>
      <c r="S171">
        <f t="shared" si="49"/>
        <v>350</v>
      </c>
      <c r="T171">
        <f t="shared" si="49"/>
        <v>350</v>
      </c>
      <c r="U171">
        <f t="shared" si="49"/>
        <v>350</v>
      </c>
      <c r="V171">
        <f t="shared" si="49"/>
        <v>350</v>
      </c>
      <c r="W171">
        <f t="shared" si="49"/>
        <v>350</v>
      </c>
      <c r="X171">
        <f t="shared" si="49"/>
        <v>350</v>
      </c>
      <c r="Y171">
        <f t="shared" si="49"/>
        <v>350</v>
      </c>
      <c r="Z171">
        <f t="shared" si="49"/>
        <v>350</v>
      </c>
      <c r="AA171">
        <f t="shared" si="49"/>
        <v>350</v>
      </c>
    </row>
    <row r="172" spans="2:27" ht="17" outlineLevel="2">
      <c r="B172" s="22" t="s">
        <v>216</v>
      </c>
      <c r="C172" s="20"/>
      <c r="G172" s="26"/>
      <c r="H172" s="26"/>
    </row>
    <row r="173" spans="2:27" ht="34" outlineLevel="3">
      <c r="B173" s="25" t="s">
        <v>217</v>
      </c>
      <c r="C173" s="20"/>
      <c r="G173" s="69"/>
      <c r="H173" s="69">
        <v>154</v>
      </c>
      <c r="I173" s="66">
        <f>+H173</f>
        <v>154</v>
      </c>
      <c r="J173" s="66">
        <f t="shared" ref="J173:AA173" si="50">+I173</f>
        <v>154</v>
      </c>
      <c r="K173" s="66">
        <f t="shared" si="50"/>
        <v>154</v>
      </c>
      <c r="L173" s="66">
        <f t="shared" si="50"/>
        <v>154</v>
      </c>
      <c r="M173" s="66">
        <f t="shared" si="50"/>
        <v>154</v>
      </c>
      <c r="N173" s="66">
        <f t="shared" si="50"/>
        <v>154</v>
      </c>
      <c r="O173" s="66">
        <f t="shared" si="50"/>
        <v>154</v>
      </c>
      <c r="P173" s="66">
        <f t="shared" si="50"/>
        <v>154</v>
      </c>
      <c r="Q173" s="66">
        <f t="shared" si="50"/>
        <v>154</v>
      </c>
      <c r="R173" s="66">
        <f t="shared" si="50"/>
        <v>154</v>
      </c>
      <c r="S173" s="66">
        <f t="shared" si="50"/>
        <v>154</v>
      </c>
      <c r="T173" s="66">
        <f t="shared" si="50"/>
        <v>154</v>
      </c>
      <c r="U173" s="66">
        <f t="shared" si="50"/>
        <v>154</v>
      </c>
      <c r="V173" s="66">
        <f t="shared" si="50"/>
        <v>154</v>
      </c>
      <c r="W173" s="66">
        <f t="shared" si="50"/>
        <v>154</v>
      </c>
      <c r="X173" s="66">
        <f t="shared" si="50"/>
        <v>154</v>
      </c>
      <c r="Y173" s="66">
        <f t="shared" si="50"/>
        <v>154</v>
      </c>
      <c r="Z173" s="66">
        <f t="shared" si="50"/>
        <v>154</v>
      </c>
      <c r="AA173" s="66">
        <f t="shared" si="50"/>
        <v>154</v>
      </c>
    </row>
    <row r="174" spans="2:27" ht="34" outlineLevel="3">
      <c r="B174" s="25" t="s">
        <v>218</v>
      </c>
      <c r="C174" s="20"/>
      <c r="G174" s="69"/>
      <c r="H174" s="69">
        <f>+H170</f>
        <v>53900</v>
      </c>
      <c r="I174" s="66">
        <f>+H174</f>
        <v>53900</v>
      </c>
      <c r="J174" s="66">
        <f t="shared" ref="J174:AA174" si="51">+I174</f>
        <v>53900</v>
      </c>
      <c r="K174" s="66">
        <f t="shared" si="51"/>
        <v>53900</v>
      </c>
      <c r="L174" s="66">
        <f t="shared" si="51"/>
        <v>53900</v>
      </c>
      <c r="M174" s="66">
        <f t="shared" si="51"/>
        <v>53900</v>
      </c>
      <c r="N174" s="66">
        <f t="shared" si="51"/>
        <v>53900</v>
      </c>
      <c r="O174" s="66">
        <f t="shared" si="51"/>
        <v>53900</v>
      </c>
      <c r="P174" s="66">
        <f t="shared" si="51"/>
        <v>53900</v>
      </c>
      <c r="Q174" s="66">
        <f t="shared" si="51"/>
        <v>53900</v>
      </c>
      <c r="R174" s="66">
        <f t="shared" si="51"/>
        <v>53900</v>
      </c>
      <c r="S174" s="66">
        <f t="shared" si="51"/>
        <v>53900</v>
      </c>
      <c r="T174" s="66">
        <f t="shared" si="51"/>
        <v>53900</v>
      </c>
      <c r="U174" s="66">
        <f t="shared" si="51"/>
        <v>53900</v>
      </c>
      <c r="V174" s="66">
        <f t="shared" si="51"/>
        <v>53900</v>
      </c>
      <c r="W174" s="66">
        <f t="shared" si="51"/>
        <v>53900</v>
      </c>
      <c r="X174" s="66">
        <f t="shared" si="51"/>
        <v>53900</v>
      </c>
      <c r="Y174" s="66">
        <f t="shared" si="51"/>
        <v>53900</v>
      </c>
      <c r="Z174" s="66">
        <f t="shared" si="51"/>
        <v>53900</v>
      </c>
      <c r="AA174" s="66">
        <f t="shared" si="51"/>
        <v>53900</v>
      </c>
    </row>
    <row r="175" spans="2:27" ht="17" outlineLevel="3">
      <c r="B175" s="25" t="s">
        <v>219</v>
      </c>
      <c r="C175" s="20"/>
      <c r="G175" s="26">
        <f>+IF(ISERROR(G174/G173),0,G174/G173)</f>
        <v>0</v>
      </c>
      <c r="H175" s="26">
        <f>+IF(ISERROR(H174/H173),0,H174/H173)</f>
        <v>350</v>
      </c>
      <c r="I175" s="26">
        <f>+IF(ISERROR(I174/I173),0,I174/I173)</f>
        <v>350</v>
      </c>
      <c r="J175" s="26">
        <f t="shared" ref="J175:AA175" si="52">+IF(ISERROR(J174/J173),0,J174/J173)</f>
        <v>350</v>
      </c>
      <c r="K175" s="26">
        <f t="shared" si="52"/>
        <v>350</v>
      </c>
      <c r="L175" s="26">
        <f t="shared" si="52"/>
        <v>350</v>
      </c>
      <c r="M175" s="26">
        <f t="shared" si="52"/>
        <v>350</v>
      </c>
      <c r="N175" s="26">
        <f t="shared" si="52"/>
        <v>350</v>
      </c>
      <c r="O175" s="26">
        <f t="shared" si="52"/>
        <v>350</v>
      </c>
      <c r="P175" s="26">
        <f t="shared" si="52"/>
        <v>350</v>
      </c>
      <c r="Q175" s="26">
        <f t="shared" si="52"/>
        <v>350</v>
      </c>
      <c r="R175" s="26">
        <f t="shared" si="52"/>
        <v>350</v>
      </c>
      <c r="S175" s="26">
        <f t="shared" si="52"/>
        <v>350</v>
      </c>
      <c r="T175" s="26">
        <f t="shared" si="52"/>
        <v>350</v>
      </c>
      <c r="U175" s="26">
        <f t="shared" si="52"/>
        <v>350</v>
      </c>
      <c r="V175" s="26">
        <f t="shared" si="52"/>
        <v>350</v>
      </c>
      <c r="W175" s="26">
        <f t="shared" si="52"/>
        <v>350</v>
      </c>
      <c r="X175" s="26">
        <f t="shared" si="52"/>
        <v>350</v>
      </c>
      <c r="Y175" s="26">
        <f t="shared" si="52"/>
        <v>350</v>
      </c>
      <c r="Z175" s="26">
        <f t="shared" si="52"/>
        <v>350</v>
      </c>
      <c r="AA175" s="26">
        <f t="shared" si="52"/>
        <v>350</v>
      </c>
    </row>
    <row r="176" spans="2:27" ht="17" outlineLevel="2">
      <c r="B176" s="22" t="s">
        <v>68</v>
      </c>
      <c r="C176" s="20"/>
    </row>
    <row r="177" spans="2:27" ht="34" outlineLevel="2">
      <c r="B177" s="22" t="s">
        <v>221</v>
      </c>
      <c r="C177" s="20" t="s">
        <v>53</v>
      </c>
      <c r="D177" s="1">
        <v>0.11</v>
      </c>
      <c r="F177">
        <v>0</v>
      </c>
      <c r="G177" s="60"/>
      <c r="H177" s="60"/>
      <c r="I177" s="60"/>
      <c r="J177" s="60"/>
      <c r="K177" s="60"/>
      <c r="L177" s="60"/>
    </row>
    <row r="178" spans="2:27" outlineLevel="2">
      <c r="B178" s="19" t="s">
        <v>55</v>
      </c>
      <c r="C178" s="20"/>
      <c r="F178" s="13"/>
      <c r="G178" s="70">
        <v>0.61619999999999997</v>
      </c>
      <c r="H178" s="70">
        <v>1</v>
      </c>
      <c r="I178" s="70">
        <v>1</v>
      </c>
      <c r="J178" s="70">
        <v>1</v>
      </c>
      <c r="K178" s="70">
        <v>1</v>
      </c>
      <c r="L178" s="70">
        <v>1</v>
      </c>
      <c r="M178" s="70">
        <v>1</v>
      </c>
      <c r="N178" s="70">
        <v>1</v>
      </c>
      <c r="O178" s="70">
        <v>1</v>
      </c>
      <c r="P178" s="70">
        <v>1</v>
      </c>
      <c r="Q178" s="70">
        <v>1</v>
      </c>
      <c r="R178" s="70">
        <v>1</v>
      </c>
      <c r="S178" s="70">
        <v>1</v>
      </c>
      <c r="T178" s="70">
        <v>1</v>
      </c>
      <c r="U178" s="70">
        <v>1</v>
      </c>
      <c r="V178" s="70">
        <v>1</v>
      </c>
      <c r="W178" s="70">
        <v>1</v>
      </c>
      <c r="X178" s="70">
        <v>1</v>
      </c>
      <c r="Y178" s="70">
        <v>1</v>
      </c>
      <c r="Z178" s="70">
        <v>1</v>
      </c>
      <c r="AA178" s="70">
        <v>1</v>
      </c>
    </row>
    <row r="179" spans="2:27" outlineLevel="2">
      <c r="B179" s="19" t="s">
        <v>224</v>
      </c>
      <c r="C179" s="20"/>
      <c r="F179" s="13"/>
      <c r="G179" s="64">
        <f>+G178*G170</f>
        <v>31056.48</v>
      </c>
      <c r="H179" s="64">
        <f>+H178*H170</f>
        <v>53900</v>
      </c>
      <c r="I179" s="64">
        <f t="shared" ref="I179:AA179" si="53">+I178*I170</f>
        <v>53900</v>
      </c>
      <c r="J179" s="64">
        <f t="shared" si="53"/>
        <v>53900</v>
      </c>
      <c r="K179" s="64">
        <f t="shared" si="53"/>
        <v>53900</v>
      </c>
      <c r="L179" s="64">
        <f t="shared" si="53"/>
        <v>53900</v>
      </c>
      <c r="M179" s="64">
        <f t="shared" si="53"/>
        <v>53900</v>
      </c>
      <c r="N179" s="64">
        <f t="shared" si="53"/>
        <v>53900</v>
      </c>
      <c r="O179" s="64">
        <f t="shared" si="53"/>
        <v>53900</v>
      </c>
      <c r="P179" s="64">
        <f t="shared" si="53"/>
        <v>53900</v>
      </c>
      <c r="Q179" s="64">
        <f t="shared" si="53"/>
        <v>53900</v>
      </c>
      <c r="R179" s="64">
        <f t="shared" si="53"/>
        <v>53900</v>
      </c>
      <c r="S179" s="64">
        <f t="shared" si="53"/>
        <v>53900</v>
      </c>
      <c r="T179" s="64">
        <f t="shared" si="53"/>
        <v>53900</v>
      </c>
      <c r="U179" s="64">
        <f t="shared" si="53"/>
        <v>53900</v>
      </c>
      <c r="V179" s="64">
        <f t="shared" si="53"/>
        <v>53900</v>
      </c>
      <c r="W179" s="64">
        <f t="shared" si="53"/>
        <v>53900</v>
      </c>
      <c r="X179" s="64">
        <f t="shared" si="53"/>
        <v>53900</v>
      </c>
      <c r="Y179" s="64">
        <f t="shared" si="53"/>
        <v>53900</v>
      </c>
      <c r="Z179" s="64">
        <f t="shared" si="53"/>
        <v>53900</v>
      </c>
      <c r="AA179" s="64">
        <f t="shared" si="53"/>
        <v>53900</v>
      </c>
    </row>
    <row r="180" spans="2:27" outlineLevel="2">
      <c r="B180" s="19" t="s">
        <v>225</v>
      </c>
      <c r="C180" s="20"/>
      <c r="G180" s="65">
        <f>+G181+G182+G183+G184+G185</f>
        <v>15686.3417072544</v>
      </c>
      <c r="H180" s="65">
        <f>+H181+H182+H183+H184+H185</f>
        <v>27224.393042</v>
      </c>
      <c r="I180" s="65">
        <f t="shared" ref="I180:AA180" si="54">+I181+I182+I183+I184+I185</f>
        <v>27224.393042</v>
      </c>
      <c r="J180" s="65">
        <f t="shared" si="54"/>
        <v>27224.393042</v>
      </c>
      <c r="K180" s="65">
        <f t="shared" si="54"/>
        <v>27224.393042</v>
      </c>
      <c r="L180" s="65">
        <f t="shared" si="54"/>
        <v>27224.393042</v>
      </c>
      <c r="M180" s="65">
        <f t="shared" si="54"/>
        <v>27224.393042</v>
      </c>
      <c r="N180" s="65">
        <f t="shared" si="54"/>
        <v>27224.393042</v>
      </c>
      <c r="O180" s="65">
        <f t="shared" si="54"/>
        <v>27224.393042</v>
      </c>
      <c r="P180" s="65">
        <f t="shared" si="54"/>
        <v>27224.393042</v>
      </c>
      <c r="Q180" s="65">
        <f t="shared" si="54"/>
        <v>27224.393042</v>
      </c>
      <c r="R180" s="65">
        <f t="shared" si="54"/>
        <v>27224.393042</v>
      </c>
      <c r="S180" s="65">
        <f t="shared" si="54"/>
        <v>27224.393042</v>
      </c>
      <c r="T180" s="65">
        <f t="shared" si="54"/>
        <v>27224.393042</v>
      </c>
      <c r="U180" s="65">
        <f t="shared" si="54"/>
        <v>27224.393042</v>
      </c>
      <c r="V180" s="65">
        <f t="shared" si="54"/>
        <v>27224.393042</v>
      </c>
      <c r="W180" s="65">
        <f t="shared" si="54"/>
        <v>27224.393042</v>
      </c>
      <c r="X180" s="65">
        <f t="shared" si="54"/>
        <v>27224.393042</v>
      </c>
      <c r="Y180" s="65">
        <f t="shared" si="54"/>
        <v>27224.393042</v>
      </c>
      <c r="Z180" s="65">
        <f t="shared" si="54"/>
        <v>27224.393042</v>
      </c>
      <c r="AA180" s="65">
        <f t="shared" si="54"/>
        <v>27224.393042</v>
      </c>
    </row>
    <row r="181" spans="2:27" s="4" customFormat="1" outlineLevel="3">
      <c r="B181" s="21" t="s">
        <v>7</v>
      </c>
      <c r="C181" s="21"/>
      <c r="D181" s="23"/>
      <c r="G181" s="65">
        <f>+G179*'Reg Proy Inmob'!$C124</f>
        <v>316.20341450880005</v>
      </c>
      <c r="H181" s="65">
        <f>+H179*'Reg Proy Inmob'!$C124</f>
        <v>548.78608400000007</v>
      </c>
      <c r="I181" s="65">
        <f>+I179*'Reg Proy Inmob'!$C124</f>
        <v>548.78608400000007</v>
      </c>
      <c r="J181" s="65">
        <f>+J179*'Reg Proy Inmob'!$C124</f>
        <v>548.78608400000007</v>
      </c>
      <c r="K181" s="65">
        <f>+K179*'Reg Proy Inmob'!$C124</f>
        <v>548.78608400000007</v>
      </c>
      <c r="L181" s="65">
        <f>+L179*'Reg Proy Inmob'!$C124</f>
        <v>548.78608400000007</v>
      </c>
      <c r="M181" s="65">
        <f>+M179*'Reg Proy Inmob'!$C124</f>
        <v>548.78608400000007</v>
      </c>
      <c r="N181" s="65">
        <f>+N179*'Reg Proy Inmob'!$C124</f>
        <v>548.78608400000007</v>
      </c>
      <c r="O181" s="65">
        <f>+O179*'Reg Proy Inmob'!$C124</f>
        <v>548.78608400000007</v>
      </c>
      <c r="P181" s="65">
        <f>+P179*'Reg Proy Inmob'!$C124</f>
        <v>548.78608400000007</v>
      </c>
      <c r="Q181" s="65">
        <f>+Q179*'Reg Proy Inmob'!$C124</f>
        <v>548.78608400000007</v>
      </c>
      <c r="R181" s="65">
        <f>+R179*'Reg Proy Inmob'!$C124</f>
        <v>548.78608400000007</v>
      </c>
      <c r="S181" s="65">
        <f>+S179*'Reg Proy Inmob'!$C124</f>
        <v>548.78608400000007</v>
      </c>
      <c r="T181" s="65">
        <f>+T179*'Reg Proy Inmob'!$C124</f>
        <v>548.78608400000007</v>
      </c>
      <c r="U181" s="65">
        <f>+U179*'Reg Proy Inmob'!$C124</f>
        <v>548.78608400000007</v>
      </c>
      <c r="V181" s="65">
        <f>+V179*'Reg Proy Inmob'!$C124</f>
        <v>548.78608400000007</v>
      </c>
      <c r="W181" s="65">
        <f>+W179*'Reg Proy Inmob'!$C124</f>
        <v>548.78608400000007</v>
      </c>
      <c r="X181" s="65">
        <f>+X179*'Reg Proy Inmob'!$C124</f>
        <v>548.78608400000007</v>
      </c>
      <c r="Y181" s="65">
        <f>+Y179*'Reg Proy Inmob'!$C124</f>
        <v>548.78608400000007</v>
      </c>
      <c r="Z181" s="65">
        <f>+Z179*'Reg Proy Inmob'!$C124</f>
        <v>548.78608400000007</v>
      </c>
      <c r="AA181" s="65">
        <f>+AA179*'Reg Proy Inmob'!$C124</f>
        <v>548.78608400000007</v>
      </c>
    </row>
    <row r="182" spans="2:27" s="4" customFormat="1" outlineLevel="3">
      <c r="B182" s="21" t="s">
        <v>11</v>
      </c>
      <c r="C182" s="72">
        <v>1</v>
      </c>
      <c r="D182" s="23"/>
      <c r="G182" s="65">
        <f>+G179*'Reg Proy Inmob'!$C125</f>
        <v>0</v>
      </c>
      <c r="H182" s="65">
        <f>+H179*'Reg Proy Inmob'!$C125</f>
        <v>0</v>
      </c>
      <c r="I182" s="65">
        <f>+I179*'Reg Proy Inmob'!$C125</f>
        <v>0</v>
      </c>
      <c r="J182" s="65">
        <f>+J179*'Reg Proy Inmob'!$C125</f>
        <v>0</v>
      </c>
      <c r="K182" s="65">
        <f>+K179*'Reg Proy Inmob'!$C125</f>
        <v>0</v>
      </c>
      <c r="L182" s="65">
        <f>+L179*'Reg Proy Inmob'!$C125</f>
        <v>0</v>
      </c>
      <c r="M182" s="65">
        <f>+M179*'Reg Proy Inmob'!$C125</f>
        <v>0</v>
      </c>
      <c r="N182" s="65">
        <f>+N179*'Reg Proy Inmob'!$C125</f>
        <v>0</v>
      </c>
      <c r="O182" s="65">
        <f>+O179*'Reg Proy Inmob'!$C125</f>
        <v>0</v>
      </c>
      <c r="P182" s="65">
        <f>+P179*'Reg Proy Inmob'!$C125</f>
        <v>0</v>
      </c>
      <c r="Q182" s="65">
        <f>+Q179*'Reg Proy Inmob'!$C125</f>
        <v>0</v>
      </c>
      <c r="R182" s="65">
        <f>+R179*'Reg Proy Inmob'!$C125</f>
        <v>0</v>
      </c>
      <c r="S182" s="65">
        <f>+S179*'Reg Proy Inmob'!$C125</f>
        <v>0</v>
      </c>
      <c r="T182" s="65">
        <f>+T179*'Reg Proy Inmob'!$C125</f>
        <v>0</v>
      </c>
      <c r="U182" s="65">
        <f>+U179*'Reg Proy Inmob'!$C125</f>
        <v>0</v>
      </c>
      <c r="V182" s="65">
        <f>+V179*'Reg Proy Inmob'!$C125</f>
        <v>0</v>
      </c>
      <c r="W182" s="65">
        <f>+W179*'Reg Proy Inmob'!$C125</f>
        <v>0</v>
      </c>
      <c r="X182" s="65">
        <f>+X179*'Reg Proy Inmob'!$C125</f>
        <v>0</v>
      </c>
      <c r="Y182" s="65">
        <f>+Y179*'Reg Proy Inmob'!$C125</f>
        <v>0</v>
      </c>
      <c r="Z182" s="65">
        <f>+Z179*'Reg Proy Inmob'!$C125</f>
        <v>0</v>
      </c>
      <c r="AA182" s="65">
        <f>+AA179*'Reg Proy Inmob'!$C125</f>
        <v>0</v>
      </c>
    </row>
    <row r="183" spans="2:27" s="4" customFormat="1" outlineLevel="3">
      <c r="B183" s="21" t="s">
        <v>6</v>
      </c>
      <c r="C183" s="72">
        <v>2</v>
      </c>
      <c r="G183" s="65">
        <f>+G179*'Reg Proy Inmob'!$C127</f>
        <v>8434.72608202224</v>
      </c>
      <c r="H183" s="65">
        <f>+H179*'Reg Proy Inmob'!$C127</f>
        <v>14638.8687907</v>
      </c>
      <c r="I183" s="65">
        <f>+I179*'Reg Proy Inmob'!$C127</f>
        <v>14638.8687907</v>
      </c>
      <c r="J183" s="65">
        <f>+J179*'Reg Proy Inmob'!$C127</f>
        <v>14638.8687907</v>
      </c>
      <c r="K183" s="65">
        <f>+K179*'Reg Proy Inmob'!$C127</f>
        <v>14638.8687907</v>
      </c>
      <c r="L183" s="65">
        <f>+L179*'Reg Proy Inmob'!$C127</f>
        <v>14638.8687907</v>
      </c>
      <c r="M183" s="65">
        <f>+M179*'Reg Proy Inmob'!$C127</f>
        <v>14638.8687907</v>
      </c>
      <c r="N183" s="65">
        <f>+N179*'Reg Proy Inmob'!$C127</f>
        <v>14638.8687907</v>
      </c>
      <c r="O183" s="65">
        <f>+O179*'Reg Proy Inmob'!$C127</f>
        <v>14638.8687907</v>
      </c>
      <c r="P183" s="65">
        <f>+P179*'Reg Proy Inmob'!$C127</f>
        <v>14638.8687907</v>
      </c>
      <c r="Q183" s="65">
        <f>+Q179*'Reg Proy Inmob'!$C127</f>
        <v>14638.8687907</v>
      </c>
      <c r="R183" s="65">
        <f>+R179*'Reg Proy Inmob'!$C127</f>
        <v>14638.8687907</v>
      </c>
      <c r="S183" s="65">
        <f>+S179*'Reg Proy Inmob'!$C127</f>
        <v>14638.8687907</v>
      </c>
      <c r="T183" s="65">
        <f>+T179*'Reg Proy Inmob'!$C127</f>
        <v>14638.8687907</v>
      </c>
      <c r="U183" s="65">
        <f>+U179*'Reg Proy Inmob'!$C127</f>
        <v>14638.8687907</v>
      </c>
      <c r="V183" s="65">
        <f>+V179*'Reg Proy Inmob'!$C127</f>
        <v>14638.8687907</v>
      </c>
      <c r="W183" s="65">
        <f>+W179*'Reg Proy Inmob'!$C127</f>
        <v>14638.8687907</v>
      </c>
      <c r="X183" s="65">
        <f>+X179*'Reg Proy Inmob'!$C127</f>
        <v>14638.8687907</v>
      </c>
      <c r="Y183" s="65">
        <f>+Y179*'Reg Proy Inmob'!$C127</f>
        <v>14638.8687907</v>
      </c>
      <c r="Z183" s="65">
        <f>+Z179*'Reg Proy Inmob'!$C127</f>
        <v>14638.8687907</v>
      </c>
      <c r="AA183" s="65">
        <f>+AA179*'Reg Proy Inmob'!$C127</f>
        <v>14638.8687907</v>
      </c>
    </row>
    <row r="184" spans="2:27" s="4" customFormat="1" outlineLevel="3">
      <c r="B184" s="21" t="s">
        <v>222</v>
      </c>
      <c r="C184" s="72">
        <v>2</v>
      </c>
      <c r="D184" s="23"/>
      <c r="G184" s="65">
        <f>+G179*'Reg Proy Inmob'!$C129</f>
        <v>6003.7178107233603</v>
      </c>
      <c r="H184" s="65">
        <f>+H179*'Reg Proy Inmob'!$C129</f>
        <v>10419.7381673</v>
      </c>
      <c r="I184" s="65">
        <f>+I179*'Reg Proy Inmob'!$C129</f>
        <v>10419.7381673</v>
      </c>
      <c r="J184" s="65">
        <f>+J179*'Reg Proy Inmob'!$C129</f>
        <v>10419.7381673</v>
      </c>
      <c r="K184" s="65">
        <f>+K179*'Reg Proy Inmob'!$C129</f>
        <v>10419.7381673</v>
      </c>
      <c r="L184" s="65">
        <f>+L179*'Reg Proy Inmob'!$C129</f>
        <v>10419.7381673</v>
      </c>
      <c r="M184" s="65">
        <f>+M179*'Reg Proy Inmob'!$C129</f>
        <v>10419.7381673</v>
      </c>
      <c r="N184" s="65">
        <f>+N179*'Reg Proy Inmob'!$C129</f>
        <v>10419.7381673</v>
      </c>
      <c r="O184" s="65">
        <f>+O179*'Reg Proy Inmob'!$C129</f>
        <v>10419.7381673</v>
      </c>
      <c r="P184" s="65">
        <f>+P179*'Reg Proy Inmob'!$C129</f>
        <v>10419.7381673</v>
      </c>
      <c r="Q184" s="65">
        <f>+Q179*'Reg Proy Inmob'!$C129</f>
        <v>10419.7381673</v>
      </c>
      <c r="R184" s="65">
        <f>+R179*'Reg Proy Inmob'!$C129</f>
        <v>10419.7381673</v>
      </c>
      <c r="S184" s="65">
        <f>+S179*'Reg Proy Inmob'!$C129</f>
        <v>10419.7381673</v>
      </c>
      <c r="T184" s="65">
        <f>+T179*'Reg Proy Inmob'!$C129</f>
        <v>10419.7381673</v>
      </c>
      <c r="U184" s="65">
        <f>+U179*'Reg Proy Inmob'!$C129</f>
        <v>10419.7381673</v>
      </c>
      <c r="V184" s="65">
        <f>+V179*'Reg Proy Inmob'!$C129</f>
        <v>10419.7381673</v>
      </c>
      <c r="W184" s="65">
        <f>+W179*'Reg Proy Inmob'!$C129</f>
        <v>10419.7381673</v>
      </c>
      <c r="X184" s="65">
        <f>+X179*'Reg Proy Inmob'!$C129</f>
        <v>10419.7381673</v>
      </c>
      <c r="Y184" s="65">
        <f>+Y179*'Reg Proy Inmob'!$C129</f>
        <v>10419.7381673</v>
      </c>
      <c r="Z184" s="65">
        <f>+Z179*'Reg Proy Inmob'!$C129</f>
        <v>10419.7381673</v>
      </c>
      <c r="AA184" s="65">
        <f>+AA179*'Reg Proy Inmob'!$C129</f>
        <v>10419.7381673</v>
      </c>
    </row>
    <row r="185" spans="2:27" s="4" customFormat="1" ht="34" outlineLevel="3">
      <c r="B185" s="25" t="s">
        <v>56</v>
      </c>
      <c r="C185" s="72">
        <v>-3</v>
      </c>
      <c r="G185" s="65">
        <f>+G179*'Reg Proy Inmob'!$C126</f>
        <v>931.69439999999997</v>
      </c>
      <c r="H185" s="65">
        <f>+H179*'Reg Proy Inmob'!$C126</f>
        <v>1617</v>
      </c>
      <c r="I185" s="65">
        <f>+I179*'Reg Proy Inmob'!$C126</f>
        <v>1617</v>
      </c>
      <c r="J185" s="65">
        <f>+J179*'Reg Proy Inmob'!$C126</f>
        <v>1617</v>
      </c>
      <c r="K185" s="65">
        <f>+K179*'Reg Proy Inmob'!$C126</f>
        <v>1617</v>
      </c>
      <c r="L185" s="65">
        <f>+L179*'Reg Proy Inmob'!$C126</f>
        <v>1617</v>
      </c>
      <c r="M185" s="65">
        <f>+M179*'Reg Proy Inmob'!$C126</f>
        <v>1617</v>
      </c>
      <c r="N185" s="65">
        <f>+N179*'Reg Proy Inmob'!$C126</f>
        <v>1617</v>
      </c>
      <c r="O185" s="65">
        <f>+O179*'Reg Proy Inmob'!$C126</f>
        <v>1617</v>
      </c>
      <c r="P185" s="65">
        <f>+P179*'Reg Proy Inmob'!$C126</f>
        <v>1617</v>
      </c>
      <c r="Q185" s="65">
        <f>+Q179*'Reg Proy Inmob'!$C126</f>
        <v>1617</v>
      </c>
      <c r="R185" s="65">
        <f>+R179*'Reg Proy Inmob'!$C126</f>
        <v>1617</v>
      </c>
      <c r="S185" s="65">
        <f>+S179*'Reg Proy Inmob'!$C126</f>
        <v>1617</v>
      </c>
      <c r="T185" s="65">
        <f>+T179*'Reg Proy Inmob'!$C126</f>
        <v>1617</v>
      </c>
      <c r="U185" s="65">
        <f>+U179*'Reg Proy Inmob'!$C126</f>
        <v>1617</v>
      </c>
      <c r="V185" s="65">
        <f>+V179*'Reg Proy Inmob'!$C126</f>
        <v>1617</v>
      </c>
      <c r="W185" s="65">
        <f>+W179*'Reg Proy Inmob'!$C126</f>
        <v>1617</v>
      </c>
      <c r="X185" s="65">
        <f>+X179*'Reg Proy Inmob'!$C126</f>
        <v>1617</v>
      </c>
      <c r="Y185" s="65">
        <f>+Y179*'Reg Proy Inmob'!$C126</f>
        <v>1617</v>
      </c>
      <c r="Z185" s="65">
        <f>+Z179*'Reg Proy Inmob'!$C126</f>
        <v>1617</v>
      </c>
      <c r="AA185" s="65">
        <f>+AA179*'Reg Proy Inmob'!$C126</f>
        <v>1617</v>
      </c>
    </row>
    <row r="186" spans="2:27" s="4" customFormat="1" ht="17" outlineLevel="2">
      <c r="B186" s="22" t="s">
        <v>59</v>
      </c>
      <c r="C186" s="24"/>
      <c r="G186" s="65">
        <f>+G187+G188</f>
        <v>13908.803173443361</v>
      </c>
      <c r="H186" s="65">
        <f>+H187+H188</f>
        <v>24139.390267300001</v>
      </c>
      <c r="I186" s="65">
        <f t="shared" ref="I186:AA186" si="55">+I187+I188</f>
        <v>24139.390267300001</v>
      </c>
      <c r="J186" s="65">
        <f t="shared" si="55"/>
        <v>24139.390267300001</v>
      </c>
      <c r="K186" s="65">
        <f t="shared" si="55"/>
        <v>24139.390267300001</v>
      </c>
      <c r="L186" s="65">
        <f t="shared" si="55"/>
        <v>24139.390267300001</v>
      </c>
      <c r="M186" s="65">
        <f t="shared" si="55"/>
        <v>24139.390267300001</v>
      </c>
      <c r="N186" s="65">
        <f t="shared" si="55"/>
        <v>24139.390267300001</v>
      </c>
      <c r="O186" s="65">
        <f t="shared" si="55"/>
        <v>24139.390267300001</v>
      </c>
      <c r="P186" s="65">
        <f t="shared" si="55"/>
        <v>24139.390267300001</v>
      </c>
      <c r="Q186" s="65">
        <f t="shared" si="55"/>
        <v>24139.390267300001</v>
      </c>
      <c r="R186" s="65">
        <f t="shared" si="55"/>
        <v>24139.390267300001</v>
      </c>
      <c r="S186" s="65">
        <f t="shared" si="55"/>
        <v>24139.390267300001</v>
      </c>
      <c r="T186" s="65">
        <f t="shared" si="55"/>
        <v>24139.390267300001</v>
      </c>
      <c r="U186" s="65">
        <f t="shared" si="55"/>
        <v>24139.390267300001</v>
      </c>
      <c r="V186" s="65">
        <f t="shared" si="55"/>
        <v>24139.390267300001</v>
      </c>
      <c r="W186" s="65">
        <f t="shared" si="55"/>
        <v>24139.390267300001</v>
      </c>
      <c r="X186" s="65">
        <f t="shared" si="55"/>
        <v>24139.390267300001</v>
      </c>
      <c r="Y186" s="65">
        <f t="shared" si="55"/>
        <v>24139.390267300001</v>
      </c>
      <c r="Z186" s="65">
        <f t="shared" si="55"/>
        <v>24139.390267300001</v>
      </c>
      <c r="AA186" s="65">
        <f t="shared" si="55"/>
        <v>24139.390267300001</v>
      </c>
    </row>
    <row r="187" spans="2:27" s="4" customFormat="1" ht="17" outlineLevel="3">
      <c r="B187" s="25" t="s">
        <v>6</v>
      </c>
      <c r="C187" s="72">
        <v>2</v>
      </c>
      <c r="G187" s="65">
        <f>+G179*'Reg Proy Inmob'!$C128</f>
        <v>7905.0853627200004</v>
      </c>
      <c r="H187" s="65">
        <f>+H179*'Reg Proy Inmob'!$C128</f>
        <v>13719.652100000001</v>
      </c>
      <c r="I187" s="65">
        <f>+I179*'Reg Proy Inmob'!$C128</f>
        <v>13719.652100000001</v>
      </c>
      <c r="J187" s="65">
        <f>+J179*'Reg Proy Inmob'!$C128</f>
        <v>13719.652100000001</v>
      </c>
      <c r="K187" s="65">
        <f>+K179*'Reg Proy Inmob'!$C128</f>
        <v>13719.652100000001</v>
      </c>
      <c r="L187" s="65">
        <f>+L179*'Reg Proy Inmob'!$C128</f>
        <v>13719.652100000001</v>
      </c>
      <c r="M187" s="65">
        <f>+M179*'Reg Proy Inmob'!$C128</f>
        <v>13719.652100000001</v>
      </c>
      <c r="N187" s="65">
        <f>+N179*'Reg Proy Inmob'!$C128</f>
        <v>13719.652100000001</v>
      </c>
      <c r="O187" s="65">
        <f>+O179*'Reg Proy Inmob'!$C128</f>
        <v>13719.652100000001</v>
      </c>
      <c r="P187" s="65">
        <f>+P179*'Reg Proy Inmob'!$C128</f>
        <v>13719.652100000001</v>
      </c>
      <c r="Q187" s="65">
        <f>+Q179*'Reg Proy Inmob'!$C128</f>
        <v>13719.652100000001</v>
      </c>
      <c r="R187" s="65">
        <f>+R179*'Reg Proy Inmob'!$C128</f>
        <v>13719.652100000001</v>
      </c>
      <c r="S187" s="65">
        <f>+S179*'Reg Proy Inmob'!$C128</f>
        <v>13719.652100000001</v>
      </c>
      <c r="T187" s="65">
        <f>+T179*'Reg Proy Inmob'!$C128</f>
        <v>13719.652100000001</v>
      </c>
      <c r="U187" s="65">
        <f>+U179*'Reg Proy Inmob'!$C128</f>
        <v>13719.652100000001</v>
      </c>
      <c r="V187" s="65">
        <f>+V179*'Reg Proy Inmob'!$C128</f>
        <v>13719.652100000001</v>
      </c>
      <c r="W187" s="65">
        <f>+W179*'Reg Proy Inmob'!$C128</f>
        <v>13719.652100000001</v>
      </c>
      <c r="X187" s="65">
        <f>+X179*'Reg Proy Inmob'!$C128</f>
        <v>13719.652100000001</v>
      </c>
      <c r="Y187" s="65">
        <f>+Y179*'Reg Proy Inmob'!$C128</f>
        <v>13719.652100000001</v>
      </c>
      <c r="Z187" s="65">
        <f>+Z179*'Reg Proy Inmob'!$C128</f>
        <v>13719.652100000001</v>
      </c>
      <c r="AA187" s="65">
        <f>+AA179*'Reg Proy Inmob'!$C128</f>
        <v>13719.652100000001</v>
      </c>
    </row>
    <row r="188" spans="2:27" s="4" customFormat="1" ht="17" outlineLevel="3">
      <c r="B188" s="25" t="s">
        <v>222</v>
      </c>
      <c r="C188" s="72">
        <v>2</v>
      </c>
      <c r="G188" s="65">
        <f>+G179*'Reg Proy Inmob'!$C130</f>
        <v>6003.7178107233603</v>
      </c>
      <c r="H188" s="65">
        <f>+H179*'Reg Proy Inmob'!$C130</f>
        <v>10419.7381673</v>
      </c>
      <c r="I188" s="65">
        <f>+I179*'Reg Proy Inmob'!$C130</f>
        <v>10419.7381673</v>
      </c>
      <c r="J188" s="65">
        <f>+J179*'Reg Proy Inmob'!$C130</f>
        <v>10419.7381673</v>
      </c>
      <c r="K188" s="65">
        <f>+K179*'Reg Proy Inmob'!$C130</f>
        <v>10419.7381673</v>
      </c>
      <c r="L188" s="65">
        <f>+L179*'Reg Proy Inmob'!$C130</f>
        <v>10419.7381673</v>
      </c>
      <c r="M188" s="65">
        <f>+M179*'Reg Proy Inmob'!$C130</f>
        <v>10419.7381673</v>
      </c>
      <c r="N188" s="65">
        <f>+N179*'Reg Proy Inmob'!$C130</f>
        <v>10419.7381673</v>
      </c>
      <c r="O188" s="65">
        <f>+O179*'Reg Proy Inmob'!$C130</f>
        <v>10419.7381673</v>
      </c>
      <c r="P188" s="65">
        <f>+P179*'Reg Proy Inmob'!$C130</f>
        <v>10419.7381673</v>
      </c>
      <c r="Q188" s="65">
        <f>+Q179*'Reg Proy Inmob'!$C130</f>
        <v>10419.7381673</v>
      </c>
      <c r="R188" s="65">
        <f>+R179*'Reg Proy Inmob'!$C130</f>
        <v>10419.7381673</v>
      </c>
      <c r="S188" s="65">
        <f>+S179*'Reg Proy Inmob'!$C130</f>
        <v>10419.7381673</v>
      </c>
      <c r="T188" s="65">
        <f>+T179*'Reg Proy Inmob'!$C130</f>
        <v>10419.7381673</v>
      </c>
      <c r="U188" s="65">
        <f>+U179*'Reg Proy Inmob'!$C130</f>
        <v>10419.7381673</v>
      </c>
      <c r="V188" s="65">
        <f>+V179*'Reg Proy Inmob'!$C130</f>
        <v>10419.7381673</v>
      </c>
      <c r="W188" s="65">
        <f>+W179*'Reg Proy Inmob'!$C130</f>
        <v>10419.7381673</v>
      </c>
      <c r="X188" s="65">
        <f>+X179*'Reg Proy Inmob'!$C130</f>
        <v>10419.7381673</v>
      </c>
      <c r="Y188" s="65">
        <f>+Y179*'Reg Proy Inmob'!$C130</f>
        <v>10419.7381673</v>
      </c>
      <c r="Z188" s="65">
        <f>+Z179*'Reg Proy Inmob'!$C130</f>
        <v>10419.7381673</v>
      </c>
      <c r="AA188" s="65">
        <f>+AA179*'Reg Proy Inmob'!$C130</f>
        <v>10419.7381673</v>
      </c>
    </row>
    <row r="189" spans="2:27" s="4" customFormat="1" ht="17" outlineLevel="2">
      <c r="B189" s="22" t="s">
        <v>60</v>
      </c>
      <c r="C189" s="24"/>
      <c r="G189" s="65">
        <f>-G190+G191+G192+G193+G194+G195+G196+G197</f>
        <v>0</v>
      </c>
      <c r="H189" s="65">
        <f t="shared" ref="H189:AA189" si="56">-H190+H191+H192+H193+H194+H195+H196+H197</f>
        <v>0</v>
      </c>
      <c r="I189" s="65">
        <f t="shared" si="56"/>
        <v>5704.0643269649991</v>
      </c>
      <c r="J189" s="65">
        <f t="shared" si="56"/>
        <v>0</v>
      </c>
      <c r="K189" s="65">
        <f t="shared" si="56"/>
        <v>0</v>
      </c>
      <c r="L189" s="65">
        <f t="shared" si="56"/>
        <v>0</v>
      </c>
      <c r="M189" s="65">
        <f t="shared" si="56"/>
        <v>0</v>
      </c>
      <c r="N189" s="65">
        <f t="shared" si="56"/>
        <v>0</v>
      </c>
      <c r="O189" s="65">
        <f t="shared" si="56"/>
        <v>0</v>
      </c>
      <c r="P189" s="65">
        <f t="shared" si="56"/>
        <v>0</v>
      </c>
      <c r="Q189" s="65">
        <f t="shared" si="56"/>
        <v>0</v>
      </c>
      <c r="R189" s="65">
        <f t="shared" si="56"/>
        <v>0</v>
      </c>
      <c r="S189" s="65">
        <f t="shared" si="56"/>
        <v>0</v>
      </c>
      <c r="T189" s="65">
        <f t="shared" si="56"/>
        <v>0</v>
      </c>
      <c r="U189" s="65">
        <f t="shared" si="56"/>
        <v>0</v>
      </c>
      <c r="V189" s="65">
        <f t="shared" si="56"/>
        <v>0</v>
      </c>
      <c r="W189" s="65">
        <f t="shared" si="56"/>
        <v>0</v>
      </c>
      <c r="X189" s="65">
        <f t="shared" si="56"/>
        <v>0</v>
      </c>
      <c r="Y189" s="65">
        <f t="shared" si="56"/>
        <v>0</v>
      </c>
      <c r="Z189" s="65">
        <f t="shared" si="56"/>
        <v>0</v>
      </c>
      <c r="AA189" s="65">
        <f t="shared" si="56"/>
        <v>0</v>
      </c>
    </row>
    <row r="190" spans="2:27" outlineLevel="3">
      <c r="B190" s="21" t="s">
        <v>51</v>
      </c>
      <c r="C190" s="20"/>
      <c r="G190" s="67"/>
      <c r="H190" s="67"/>
      <c r="I190" s="67"/>
      <c r="J190" s="67"/>
      <c r="K190" s="67"/>
      <c r="L190" s="67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38"/>
    </row>
    <row r="191" spans="2:27" outlineLevel="3">
      <c r="B191" s="21" t="s">
        <v>52</v>
      </c>
      <c r="C191" s="20"/>
      <c r="G191" s="67"/>
      <c r="H191" s="67"/>
      <c r="I191" s="67">
        <v>2619.061552265</v>
      </c>
      <c r="J191" s="67"/>
      <c r="K191" s="67"/>
      <c r="L191" s="67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38"/>
    </row>
    <row r="192" spans="2:27" ht="51" outlineLevel="3">
      <c r="B192" s="25" t="s">
        <v>54</v>
      </c>
      <c r="C192" s="20"/>
      <c r="G192" s="67"/>
      <c r="H192" s="67"/>
      <c r="I192" s="67"/>
      <c r="J192" s="67"/>
      <c r="K192" s="67"/>
      <c r="L192" s="67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38"/>
    </row>
    <row r="193" spans="2:27" s="4" customFormat="1" ht="17" outlineLevel="3">
      <c r="B193" s="25" t="s">
        <v>61</v>
      </c>
      <c r="C193" s="24"/>
      <c r="G193" s="67"/>
      <c r="H193" s="67"/>
      <c r="I193" s="67"/>
      <c r="J193" s="67"/>
      <c r="K193" s="67"/>
      <c r="L193" s="67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57"/>
    </row>
    <row r="194" spans="2:27" s="4" customFormat="1" ht="17" outlineLevel="3">
      <c r="B194" s="25" t="s">
        <v>62</v>
      </c>
      <c r="C194" s="24"/>
      <c r="G194" s="67"/>
      <c r="H194" s="67"/>
      <c r="I194" s="67">
        <f>+I181</f>
        <v>548.78608400000007</v>
      </c>
      <c r="J194" s="67"/>
      <c r="K194" s="67"/>
      <c r="L194" s="67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57"/>
    </row>
    <row r="195" spans="2:27" s="4" customFormat="1" ht="17" outlineLevel="3">
      <c r="B195" s="25" t="s">
        <v>63</v>
      </c>
      <c r="C195" s="24"/>
      <c r="G195" s="67"/>
      <c r="H195" s="67"/>
      <c r="I195" s="67">
        <f>+I182</f>
        <v>0</v>
      </c>
      <c r="J195" s="67"/>
      <c r="K195" s="67"/>
      <c r="L195" s="67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57"/>
    </row>
    <row r="196" spans="2:27" s="4" customFormat="1" ht="17" outlineLevel="3">
      <c r="B196" s="25" t="s">
        <v>64</v>
      </c>
      <c r="C196" s="24"/>
      <c r="G196" s="67"/>
      <c r="H196" s="67"/>
      <c r="I196" s="67">
        <f>+I183-I187</f>
        <v>919.21669069999916</v>
      </c>
      <c r="J196" s="67"/>
      <c r="K196" s="67"/>
      <c r="L196" s="67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57"/>
    </row>
    <row r="197" spans="2:27" s="4" customFormat="1" ht="34" outlineLevel="3">
      <c r="B197" s="25" t="s">
        <v>65</v>
      </c>
      <c r="C197" s="24"/>
      <c r="G197" s="67"/>
      <c r="H197" s="67"/>
      <c r="I197" s="67">
        <f>I185</f>
        <v>1617</v>
      </c>
      <c r="J197" s="67"/>
      <c r="K197" s="67"/>
      <c r="L197" s="67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57"/>
    </row>
    <row r="198" spans="2:27" s="4" customFormat="1" outlineLevel="2">
      <c r="B198" s="25"/>
      <c r="C198" s="24"/>
    </row>
    <row r="199" spans="2:27" outlineLevel="1">
      <c r="B199" s="18" t="s">
        <v>180</v>
      </c>
      <c r="C199" s="20"/>
      <c r="D199" t="s">
        <v>351</v>
      </c>
    </row>
    <row r="200" spans="2:27" outlineLevel="2">
      <c r="B200" s="19" t="s">
        <v>220</v>
      </c>
      <c r="C200" s="20"/>
    </row>
    <row r="201" spans="2:27" ht="34" outlineLevel="3">
      <c r="B201" s="25" t="s">
        <v>58</v>
      </c>
      <c r="C201" s="20"/>
      <c r="F201" s="60">
        <v>55</v>
      </c>
      <c r="G201" s="60">
        <v>69</v>
      </c>
      <c r="H201" s="60">
        <f>+G201</f>
        <v>69</v>
      </c>
      <c r="I201" s="60">
        <f>+H201</f>
        <v>69</v>
      </c>
      <c r="J201" s="60">
        <f>+I201</f>
        <v>69</v>
      </c>
      <c r="K201" s="60">
        <f t="shared" ref="K201:AA201" si="57">+J201</f>
        <v>69</v>
      </c>
      <c r="L201" s="60">
        <f t="shared" si="57"/>
        <v>69</v>
      </c>
      <c r="M201" s="60">
        <f t="shared" si="57"/>
        <v>69</v>
      </c>
      <c r="N201" s="60">
        <f t="shared" si="57"/>
        <v>69</v>
      </c>
      <c r="O201" s="60">
        <f t="shared" si="57"/>
        <v>69</v>
      </c>
      <c r="P201" s="60">
        <f t="shared" si="57"/>
        <v>69</v>
      </c>
      <c r="Q201" s="60">
        <f t="shared" si="57"/>
        <v>69</v>
      </c>
      <c r="R201" s="60">
        <f t="shared" si="57"/>
        <v>69</v>
      </c>
      <c r="S201" s="60">
        <f t="shared" si="57"/>
        <v>69</v>
      </c>
      <c r="T201" s="60">
        <f t="shared" si="57"/>
        <v>69</v>
      </c>
      <c r="U201" s="60">
        <f t="shared" si="57"/>
        <v>69</v>
      </c>
      <c r="V201" s="60">
        <f t="shared" si="57"/>
        <v>69</v>
      </c>
      <c r="W201" s="60">
        <f t="shared" si="57"/>
        <v>69</v>
      </c>
      <c r="X201" s="60">
        <f t="shared" si="57"/>
        <v>69</v>
      </c>
      <c r="Y201" s="60">
        <f t="shared" si="57"/>
        <v>69</v>
      </c>
      <c r="Z201" s="60">
        <f t="shared" si="57"/>
        <v>69</v>
      </c>
      <c r="AA201" s="60">
        <f t="shared" si="57"/>
        <v>69</v>
      </c>
    </row>
    <row r="202" spans="2:27" ht="17" outlineLevel="3">
      <c r="B202" s="25" t="s">
        <v>66</v>
      </c>
      <c r="C202" s="20"/>
      <c r="F202" s="61">
        <v>20366.45508</v>
      </c>
      <c r="G202" s="61">
        <v>28219.130552999999</v>
      </c>
      <c r="H202" s="61">
        <v>28219.130552999999</v>
      </c>
      <c r="I202" s="61">
        <v>28219.130552999999</v>
      </c>
      <c r="J202" s="61">
        <v>28219.130552999999</v>
      </c>
      <c r="K202" s="61">
        <v>28219.130552999999</v>
      </c>
      <c r="L202" s="61">
        <v>28219.130552999999</v>
      </c>
      <c r="M202" s="61">
        <v>28219.130552999999</v>
      </c>
      <c r="N202" s="61">
        <v>28219.130552999999</v>
      </c>
      <c r="O202" s="61">
        <v>28219.130552999999</v>
      </c>
      <c r="P202" s="61">
        <v>28219.130552999999</v>
      </c>
      <c r="Q202" s="61">
        <v>28219.130552999999</v>
      </c>
      <c r="R202" s="61">
        <v>28219.130552999999</v>
      </c>
      <c r="S202" s="61">
        <v>28219.130552999999</v>
      </c>
      <c r="T202" s="61">
        <v>28219.130552999999</v>
      </c>
      <c r="U202" s="61">
        <v>28219.130552999999</v>
      </c>
      <c r="V202" s="61">
        <v>28219.130552999999</v>
      </c>
      <c r="W202" s="61">
        <v>28219.130552999999</v>
      </c>
      <c r="X202" s="61">
        <v>28219.130552999999</v>
      </c>
      <c r="Y202" s="61">
        <v>28219.130552999999</v>
      </c>
      <c r="Z202" s="61">
        <v>28219.130552999999</v>
      </c>
      <c r="AA202" s="61">
        <v>28219.130552999999</v>
      </c>
    </row>
    <row r="203" spans="2:27" ht="17" outlineLevel="3">
      <c r="B203" s="25" t="s">
        <v>67</v>
      </c>
      <c r="C203" s="20"/>
      <c r="F203" s="73">
        <f t="shared" ref="F203:K203" si="58">+IF(ISERROR(F202/F201),0,F202/F201)</f>
        <v>370.29918327272725</v>
      </c>
      <c r="G203" s="73">
        <f t="shared" si="58"/>
        <v>408.97290656521739</v>
      </c>
      <c r="H203" s="73">
        <f t="shared" si="58"/>
        <v>408.97290656521739</v>
      </c>
      <c r="I203" s="73">
        <f t="shared" si="58"/>
        <v>408.97290656521739</v>
      </c>
      <c r="J203" s="73">
        <f t="shared" si="58"/>
        <v>408.97290656521739</v>
      </c>
      <c r="K203" s="73">
        <f t="shared" si="58"/>
        <v>408.97290656521739</v>
      </c>
      <c r="L203">
        <f t="shared" ref="L203:AA203" si="59">+IF(ISERROR(L202/L201),0,L202/L201)</f>
        <v>408.97290656521739</v>
      </c>
      <c r="M203">
        <f t="shared" si="59"/>
        <v>408.97290656521739</v>
      </c>
      <c r="N203">
        <f t="shared" si="59"/>
        <v>408.97290656521739</v>
      </c>
      <c r="O203">
        <f t="shared" si="59"/>
        <v>408.97290656521739</v>
      </c>
      <c r="P203">
        <f t="shared" si="59"/>
        <v>408.97290656521739</v>
      </c>
      <c r="Q203">
        <f t="shared" si="59"/>
        <v>408.97290656521739</v>
      </c>
      <c r="R203">
        <f t="shared" si="59"/>
        <v>408.97290656521739</v>
      </c>
      <c r="S203">
        <f t="shared" si="59"/>
        <v>408.97290656521739</v>
      </c>
      <c r="T203">
        <f t="shared" si="59"/>
        <v>408.97290656521739</v>
      </c>
      <c r="U203">
        <f t="shared" si="59"/>
        <v>408.97290656521739</v>
      </c>
      <c r="V203">
        <f t="shared" si="59"/>
        <v>408.97290656521739</v>
      </c>
      <c r="W203">
        <f t="shared" si="59"/>
        <v>408.97290656521739</v>
      </c>
      <c r="X203">
        <f t="shared" si="59"/>
        <v>408.97290656521739</v>
      </c>
      <c r="Y203">
        <f t="shared" si="59"/>
        <v>408.97290656521739</v>
      </c>
      <c r="Z203">
        <f t="shared" si="59"/>
        <v>408.97290656521739</v>
      </c>
      <c r="AA203">
        <f t="shared" si="59"/>
        <v>408.97290656521739</v>
      </c>
    </row>
    <row r="204" spans="2:27" ht="17" outlineLevel="2">
      <c r="B204" s="22" t="s">
        <v>216</v>
      </c>
      <c r="C204" s="20"/>
      <c r="G204" s="26"/>
      <c r="H204" s="26"/>
    </row>
    <row r="205" spans="2:27" ht="34" outlineLevel="3">
      <c r="B205" s="25" t="s">
        <v>217</v>
      </c>
      <c r="C205" s="20"/>
      <c r="G205" s="69"/>
      <c r="H205" s="69">
        <f>+H201</f>
        <v>69</v>
      </c>
      <c r="I205" s="66">
        <f>+I201</f>
        <v>69</v>
      </c>
      <c r="J205" s="66">
        <f>+I205</f>
        <v>69</v>
      </c>
      <c r="K205" s="66">
        <f t="shared" ref="K205:AA205" si="60">+J205</f>
        <v>69</v>
      </c>
      <c r="L205" s="66">
        <f t="shared" si="60"/>
        <v>69</v>
      </c>
      <c r="M205" s="66">
        <f t="shared" si="60"/>
        <v>69</v>
      </c>
      <c r="N205" s="66">
        <f t="shared" si="60"/>
        <v>69</v>
      </c>
      <c r="O205" s="66">
        <f t="shared" si="60"/>
        <v>69</v>
      </c>
      <c r="P205" s="66">
        <f t="shared" si="60"/>
        <v>69</v>
      </c>
      <c r="Q205" s="66">
        <f t="shared" si="60"/>
        <v>69</v>
      </c>
      <c r="R205" s="66">
        <f t="shared" si="60"/>
        <v>69</v>
      </c>
      <c r="S205" s="66">
        <f t="shared" si="60"/>
        <v>69</v>
      </c>
      <c r="T205" s="66">
        <f t="shared" si="60"/>
        <v>69</v>
      </c>
      <c r="U205" s="66">
        <f t="shared" si="60"/>
        <v>69</v>
      </c>
      <c r="V205" s="66">
        <f t="shared" si="60"/>
        <v>69</v>
      </c>
      <c r="W205" s="66">
        <f t="shared" si="60"/>
        <v>69</v>
      </c>
      <c r="X205" s="66">
        <f t="shared" si="60"/>
        <v>69</v>
      </c>
      <c r="Y205" s="66">
        <f t="shared" si="60"/>
        <v>69</v>
      </c>
      <c r="Z205" s="66">
        <f t="shared" si="60"/>
        <v>69</v>
      </c>
      <c r="AA205" s="66">
        <f t="shared" si="60"/>
        <v>69</v>
      </c>
    </row>
    <row r="206" spans="2:27" ht="34" outlineLevel="3">
      <c r="B206" s="25" t="s">
        <v>218</v>
      </c>
      <c r="C206" s="20"/>
      <c r="G206" s="69"/>
      <c r="H206" s="69">
        <f>+H202</f>
        <v>28219.130552999999</v>
      </c>
      <c r="I206" s="66">
        <f>+I202</f>
        <v>28219.130552999999</v>
      </c>
      <c r="J206" s="66">
        <f>+I206</f>
        <v>28219.130552999999</v>
      </c>
      <c r="K206" s="66">
        <f t="shared" ref="K206:AA206" si="61">+J206</f>
        <v>28219.130552999999</v>
      </c>
      <c r="L206" s="66">
        <f t="shared" si="61"/>
        <v>28219.130552999999</v>
      </c>
      <c r="M206" s="66">
        <f t="shared" si="61"/>
        <v>28219.130552999999</v>
      </c>
      <c r="N206" s="66">
        <f t="shared" si="61"/>
        <v>28219.130552999999</v>
      </c>
      <c r="O206" s="66">
        <f t="shared" si="61"/>
        <v>28219.130552999999</v>
      </c>
      <c r="P206" s="66">
        <f t="shared" si="61"/>
        <v>28219.130552999999</v>
      </c>
      <c r="Q206" s="66">
        <f t="shared" si="61"/>
        <v>28219.130552999999</v>
      </c>
      <c r="R206" s="66">
        <f t="shared" si="61"/>
        <v>28219.130552999999</v>
      </c>
      <c r="S206" s="66">
        <f t="shared" si="61"/>
        <v>28219.130552999999</v>
      </c>
      <c r="T206" s="66">
        <f t="shared" si="61"/>
        <v>28219.130552999999</v>
      </c>
      <c r="U206" s="66">
        <f t="shared" si="61"/>
        <v>28219.130552999999</v>
      </c>
      <c r="V206" s="66">
        <f t="shared" si="61"/>
        <v>28219.130552999999</v>
      </c>
      <c r="W206" s="66">
        <f t="shared" si="61"/>
        <v>28219.130552999999</v>
      </c>
      <c r="X206" s="66">
        <f t="shared" si="61"/>
        <v>28219.130552999999</v>
      </c>
      <c r="Y206" s="66">
        <f t="shared" si="61"/>
        <v>28219.130552999999</v>
      </c>
      <c r="Z206" s="66">
        <f t="shared" si="61"/>
        <v>28219.130552999999</v>
      </c>
      <c r="AA206" s="66">
        <f t="shared" si="61"/>
        <v>28219.130552999999</v>
      </c>
    </row>
    <row r="207" spans="2:27" ht="17" outlineLevel="3">
      <c r="B207" s="25" t="s">
        <v>219</v>
      </c>
      <c r="C207" s="20"/>
      <c r="G207" s="26">
        <f>+IF(ISERROR(G206/G205),0,G206/G205)</f>
        <v>0</v>
      </c>
      <c r="H207" s="26">
        <f>+IF(ISERROR(H206/H205),0,H206/H205)</f>
        <v>408.97290656521739</v>
      </c>
      <c r="I207" s="26">
        <f>+IF(ISERROR(I206/I205),0,I206/I205)</f>
        <v>408.97290656521739</v>
      </c>
      <c r="J207" s="26">
        <f>+IF(ISERROR(J206/J205),0,J206/J205)</f>
        <v>408.97290656521739</v>
      </c>
      <c r="K207" s="26">
        <f t="shared" ref="K207:AA207" si="62">+IF(ISERROR(K206/K205),0,K206/K205)</f>
        <v>408.97290656521739</v>
      </c>
      <c r="L207" s="26">
        <f t="shared" si="62"/>
        <v>408.97290656521739</v>
      </c>
      <c r="M207" s="26">
        <f t="shared" si="62"/>
        <v>408.97290656521739</v>
      </c>
      <c r="N207" s="26">
        <f t="shared" si="62"/>
        <v>408.97290656521739</v>
      </c>
      <c r="O207" s="26">
        <f t="shared" si="62"/>
        <v>408.97290656521739</v>
      </c>
      <c r="P207" s="26">
        <f t="shared" si="62"/>
        <v>408.97290656521739</v>
      </c>
      <c r="Q207" s="26">
        <f t="shared" si="62"/>
        <v>408.97290656521739</v>
      </c>
      <c r="R207" s="26">
        <f t="shared" si="62"/>
        <v>408.97290656521739</v>
      </c>
      <c r="S207" s="26">
        <f t="shared" si="62"/>
        <v>408.97290656521739</v>
      </c>
      <c r="T207" s="26">
        <f t="shared" si="62"/>
        <v>408.97290656521739</v>
      </c>
      <c r="U207" s="26">
        <f t="shared" si="62"/>
        <v>408.97290656521739</v>
      </c>
      <c r="V207" s="26">
        <f t="shared" si="62"/>
        <v>408.97290656521739</v>
      </c>
      <c r="W207" s="26">
        <f t="shared" si="62"/>
        <v>408.97290656521739</v>
      </c>
      <c r="X207" s="26">
        <f t="shared" si="62"/>
        <v>408.97290656521739</v>
      </c>
      <c r="Y207" s="26">
        <f t="shared" si="62"/>
        <v>408.97290656521739</v>
      </c>
      <c r="Z207" s="26">
        <f t="shared" si="62"/>
        <v>408.97290656521739</v>
      </c>
      <c r="AA207" s="26">
        <f t="shared" si="62"/>
        <v>408.97290656521739</v>
      </c>
    </row>
    <row r="208" spans="2:27" ht="17" outlineLevel="2">
      <c r="B208" s="22" t="s">
        <v>68</v>
      </c>
      <c r="C208" s="20"/>
    </row>
    <row r="209" spans="2:27" ht="34" outlineLevel="2">
      <c r="B209" s="22" t="s">
        <v>221</v>
      </c>
      <c r="C209" s="20" t="s">
        <v>53</v>
      </c>
      <c r="D209" s="1">
        <v>0.11</v>
      </c>
      <c r="F209">
        <v>0</v>
      </c>
      <c r="G209" s="60">
        <v>9000</v>
      </c>
      <c r="H209" s="60"/>
      <c r="I209" s="60"/>
      <c r="J209" s="60"/>
      <c r="K209" s="60"/>
      <c r="L209" s="60"/>
    </row>
    <row r="210" spans="2:27" outlineLevel="2">
      <c r="B210" s="19" t="s">
        <v>55</v>
      </c>
      <c r="C210" s="20"/>
      <c r="F210" s="70">
        <v>0.1913</v>
      </c>
      <c r="G210" s="70">
        <v>1</v>
      </c>
      <c r="H210" s="70">
        <v>1</v>
      </c>
      <c r="I210" s="70">
        <v>1</v>
      </c>
      <c r="J210" s="70">
        <v>1</v>
      </c>
      <c r="K210" s="70">
        <v>1</v>
      </c>
      <c r="L210" s="70">
        <v>1</v>
      </c>
      <c r="M210" s="70">
        <v>1</v>
      </c>
      <c r="N210" s="70">
        <v>1</v>
      </c>
      <c r="O210" s="70">
        <v>1</v>
      </c>
      <c r="P210" s="70">
        <v>1</v>
      </c>
      <c r="Q210" s="70">
        <v>1</v>
      </c>
      <c r="R210" s="70">
        <v>1</v>
      </c>
      <c r="S210" s="70">
        <v>1</v>
      </c>
      <c r="T210" s="70">
        <v>1</v>
      </c>
      <c r="U210" s="70">
        <v>1</v>
      </c>
      <c r="V210" s="70">
        <v>1</v>
      </c>
      <c r="W210" s="70">
        <v>1</v>
      </c>
      <c r="X210" s="70">
        <v>1</v>
      </c>
      <c r="Y210" s="70">
        <v>1</v>
      </c>
      <c r="Z210" s="70">
        <v>1</v>
      </c>
      <c r="AA210" s="70">
        <v>1</v>
      </c>
    </row>
    <row r="211" spans="2:27" outlineLevel="2">
      <c r="B211" s="19" t="s">
        <v>224</v>
      </c>
      <c r="C211" s="20"/>
      <c r="F211" s="13"/>
      <c r="G211" s="64">
        <f>+G210*G202</f>
        <v>28219.130552999999</v>
      </c>
      <c r="H211" s="64">
        <f>+H210*H202</f>
        <v>28219.130552999999</v>
      </c>
      <c r="I211" s="64">
        <f>+I210*I202</f>
        <v>28219.130552999999</v>
      </c>
      <c r="J211" s="64">
        <f>+J210*J202</f>
        <v>28219.130552999999</v>
      </c>
      <c r="K211" s="64">
        <f>+K210*K202</f>
        <v>28219.130552999999</v>
      </c>
      <c r="L211" s="64">
        <f t="shared" ref="L211:AA211" si="63">+L210*L202</f>
        <v>28219.130552999999</v>
      </c>
      <c r="M211" s="64">
        <f t="shared" si="63"/>
        <v>28219.130552999999</v>
      </c>
      <c r="N211" s="64">
        <f t="shared" si="63"/>
        <v>28219.130552999999</v>
      </c>
      <c r="O211" s="64">
        <f t="shared" si="63"/>
        <v>28219.130552999999</v>
      </c>
      <c r="P211" s="64">
        <f t="shared" si="63"/>
        <v>28219.130552999999</v>
      </c>
      <c r="Q211" s="64">
        <f t="shared" si="63"/>
        <v>28219.130552999999</v>
      </c>
      <c r="R211" s="64">
        <f t="shared" si="63"/>
        <v>28219.130552999999</v>
      </c>
      <c r="S211" s="64">
        <f t="shared" si="63"/>
        <v>28219.130552999999</v>
      </c>
      <c r="T211" s="64">
        <f t="shared" si="63"/>
        <v>28219.130552999999</v>
      </c>
      <c r="U211" s="64">
        <f t="shared" si="63"/>
        <v>28219.130552999999</v>
      </c>
      <c r="V211" s="64">
        <f t="shared" si="63"/>
        <v>28219.130552999999</v>
      </c>
      <c r="W211" s="64">
        <f t="shared" si="63"/>
        <v>28219.130552999999</v>
      </c>
      <c r="X211" s="64">
        <f t="shared" si="63"/>
        <v>28219.130552999999</v>
      </c>
      <c r="Y211" s="64">
        <f t="shared" si="63"/>
        <v>28219.130552999999</v>
      </c>
      <c r="Z211" s="64">
        <f t="shared" si="63"/>
        <v>28219.130552999999</v>
      </c>
      <c r="AA211" s="64">
        <f t="shared" si="63"/>
        <v>28219.130552999999</v>
      </c>
    </row>
    <row r="212" spans="2:27" outlineLevel="2">
      <c r="B212" s="19" t="s">
        <v>225</v>
      </c>
      <c r="C212" s="20"/>
      <c r="G212" s="65">
        <f>+G213+G214+G215+G216+G217</f>
        <v>24520.115071659999</v>
      </c>
      <c r="H212" s="65">
        <f>+H213+H214+H215+H216+H217</f>
        <v>24520.115071659999</v>
      </c>
      <c r="I212" s="65">
        <f>+I213+I214+I215+I216+I217</f>
        <v>24520.115071659999</v>
      </c>
      <c r="J212" s="65">
        <f>+J213+J214+J215+J216+J217</f>
        <v>24520.115071659999</v>
      </c>
      <c r="K212" s="65">
        <f>+K213+K214+K215+K216+K217</f>
        <v>24520.115071659999</v>
      </c>
      <c r="L212" s="65">
        <f t="shared" ref="L212:AA212" si="64">+L213+L214+L215+L216+L217</f>
        <v>24520.115071659999</v>
      </c>
      <c r="M212" s="65">
        <f t="shared" si="64"/>
        <v>24520.115071659999</v>
      </c>
      <c r="N212" s="65">
        <f t="shared" si="64"/>
        <v>24520.115071659999</v>
      </c>
      <c r="O212" s="65">
        <f t="shared" si="64"/>
        <v>24520.115071659999</v>
      </c>
      <c r="P212" s="65">
        <f t="shared" si="64"/>
        <v>24520.115071659999</v>
      </c>
      <c r="Q212" s="65">
        <f t="shared" si="64"/>
        <v>24520.115071659999</v>
      </c>
      <c r="R212" s="65">
        <f t="shared" si="64"/>
        <v>24520.115071659999</v>
      </c>
      <c r="S212" s="65">
        <f t="shared" si="64"/>
        <v>24520.115071659999</v>
      </c>
      <c r="T212" s="65">
        <f t="shared" si="64"/>
        <v>24520.115071659999</v>
      </c>
      <c r="U212" s="65">
        <f t="shared" si="64"/>
        <v>24520.115071659999</v>
      </c>
      <c r="V212" s="65">
        <f t="shared" si="64"/>
        <v>24520.115071659999</v>
      </c>
      <c r="W212" s="65">
        <f t="shared" si="64"/>
        <v>24520.115071659999</v>
      </c>
      <c r="X212" s="65">
        <f t="shared" si="64"/>
        <v>24520.115071659999</v>
      </c>
      <c r="Y212" s="65">
        <f t="shared" si="64"/>
        <v>24520.115071659999</v>
      </c>
      <c r="Z212" s="65">
        <f t="shared" si="64"/>
        <v>24520.115071659999</v>
      </c>
      <c r="AA212" s="65">
        <f t="shared" si="64"/>
        <v>24520.115071659999</v>
      </c>
    </row>
    <row r="213" spans="2:27" s="4" customFormat="1" outlineLevel="3">
      <c r="B213" s="21" t="s">
        <v>7</v>
      </c>
      <c r="C213" s="21"/>
      <c r="D213" s="23"/>
      <c r="G213" s="65">
        <f>+G211*'Reg Proy Inmob'!$C149</f>
        <v>0</v>
      </c>
      <c r="H213" s="65">
        <f>+H211*'Reg Proy Inmob'!$C149</f>
        <v>0</v>
      </c>
      <c r="I213" s="65">
        <f>+I211*'Reg Proy Inmob'!$C149</f>
        <v>0</v>
      </c>
      <c r="J213" s="65">
        <f>+J211*'Reg Proy Inmob'!$C149</f>
        <v>0</v>
      </c>
      <c r="K213" s="65">
        <f>+K211*'Reg Proy Inmob'!$C149</f>
        <v>0</v>
      </c>
      <c r="L213" s="65">
        <f>+L211*'Reg Proy Inmob'!$C149</f>
        <v>0</v>
      </c>
      <c r="M213" s="65">
        <f>+M211*'Reg Proy Inmob'!$C149</f>
        <v>0</v>
      </c>
      <c r="N213" s="65">
        <f>+N211*'Reg Proy Inmob'!$C149</f>
        <v>0</v>
      </c>
      <c r="O213" s="65">
        <f>+O211*'Reg Proy Inmob'!$C149</f>
        <v>0</v>
      </c>
      <c r="P213" s="65">
        <f>+P211*'Reg Proy Inmob'!$C149</f>
        <v>0</v>
      </c>
      <c r="Q213" s="65">
        <f>+Q211*'Reg Proy Inmob'!$C149</f>
        <v>0</v>
      </c>
      <c r="R213" s="65">
        <f>+R211*'Reg Proy Inmob'!$C149</f>
        <v>0</v>
      </c>
      <c r="S213" s="65">
        <f>+S211*'Reg Proy Inmob'!$C149</f>
        <v>0</v>
      </c>
      <c r="T213" s="65">
        <f>+T211*'Reg Proy Inmob'!$C149</f>
        <v>0</v>
      </c>
      <c r="U213" s="65">
        <f>+U211*'Reg Proy Inmob'!$C149</f>
        <v>0</v>
      </c>
      <c r="V213" s="65">
        <f>+V211*'Reg Proy Inmob'!$C149</f>
        <v>0</v>
      </c>
      <c r="W213" s="65">
        <f>+W211*'Reg Proy Inmob'!$C149</f>
        <v>0</v>
      </c>
      <c r="X213" s="65">
        <f>+X211*'Reg Proy Inmob'!$C149</f>
        <v>0</v>
      </c>
      <c r="Y213" s="65">
        <f>+Y211*'Reg Proy Inmob'!$C149</f>
        <v>0</v>
      </c>
      <c r="Z213" s="65">
        <f>+Z211*'Reg Proy Inmob'!$C149</f>
        <v>0</v>
      </c>
      <c r="AA213" s="65">
        <f>+AA211*'Reg Proy Inmob'!$C149</f>
        <v>0</v>
      </c>
    </row>
    <row r="214" spans="2:27" s="4" customFormat="1" outlineLevel="3">
      <c r="B214" s="21" t="s">
        <v>11</v>
      </c>
      <c r="C214" s="72">
        <v>1</v>
      </c>
      <c r="D214" s="23"/>
      <c r="G214" s="65">
        <f>+G211*'Reg Proy Inmob'!$C150</f>
        <v>0</v>
      </c>
      <c r="H214" s="65">
        <f>+H211*'Reg Proy Inmob'!$C150</f>
        <v>0</v>
      </c>
      <c r="I214" s="65">
        <f>+I211*'Reg Proy Inmob'!$C150</f>
        <v>0</v>
      </c>
      <c r="J214" s="65">
        <f>+J211*'Reg Proy Inmob'!$C150</f>
        <v>0</v>
      </c>
      <c r="K214" s="65">
        <f>+K211*'Reg Proy Inmob'!$C150</f>
        <v>0</v>
      </c>
      <c r="L214" s="65">
        <f>+L211*'Reg Proy Inmob'!$C150</f>
        <v>0</v>
      </c>
      <c r="M214" s="65">
        <f>+M211*'Reg Proy Inmob'!$C150</f>
        <v>0</v>
      </c>
      <c r="N214" s="65">
        <f>+N211*'Reg Proy Inmob'!$C150</f>
        <v>0</v>
      </c>
      <c r="O214" s="65">
        <f>+O211*'Reg Proy Inmob'!$C150</f>
        <v>0</v>
      </c>
      <c r="P214" s="65">
        <f>+P211*'Reg Proy Inmob'!$C150</f>
        <v>0</v>
      </c>
      <c r="Q214" s="65">
        <f>+Q211*'Reg Proy Inmob'!$C150</f>
        <v>0</v>
      </c>
      <c r="R214" s="65">
        <f>+R211*'Reg Proy Inmob'!$C150</f>
        <v>0</v>
      </c>
      <c r="S214" s="65">
        <f>+S211*'Reg Proy Inmob'!$C150</f>
        <v>0</v>
      </c>
      <c r="T214" s="65">
        <f>+T211*'Reg Proy Inmob'!$C150</f>
        <v>0</v>
      </c>
      <c r="U214" s="65">
        <f>+U211*'Reg Proy Inmob'!$C150</f>
        <v>0</v>
      </c>
      <c r="V214" s="65">
        <f>+V211*'Reg Proy Inmob'!$C150</f>
        <v>0</v>
      </c>
      <c r="W214" s="65">
        <f>+W211*'Reg Proy Inmob'!$C150</f>
        <v>0</v>
      </c>
      <c r="X214" s="65">
        <f>+X211*'Reg Proy Inmob'!$C150</f>
        <v>0</v>
      </c>
      <c r="Y214" s="65">
        <f>+Y211*'Reg Proy Inmob'!$C150</f>
        <v>0</v>
      </c>
      <c r="Z214" s="65">
        <f>+Z211*'Reg Proy Inmob'!$C150</f>
        <v>0</v>
      </c>
      <c r="AA214" s="65">
        <f>+AA211*'Reg Proy Inmob'!$C150</f>
        <v>0</v>
      </c>
    </row>
    <row r="215" spans="2:27" s="4" customFormat="1" outlineLevel="3">
      <c r="B215" s="21" t="s">
        <v>6</v>
      </c>
      <c r="C215" s="72">
        <v>2</v>
      </c>
      <c r="G215" s="65">
        <f>+G211*'Reg Proy Inmob'!$C152</f>
        <v>20802.000028999999</v>
      </c>
      <c r="H215" s="65">
        <f>+H211*'Reg Proy Inmob'!$C152</f>
        <v>20802.000028999999</v>
      </c>
      <c r="I215" s="65">
        <f>+I211*'Reg Proy Inmob'!$C152</f>
        <v>20802.000028999999</v>
      </c>
      <c r="J215" s="65">
        <f>+J211*'Reg Proy Inmob'!$C152</f>
        <v>20802.000028999999</v>
      </c>
      <c r="K215" s="65">
        <f>+K211*'Reg Proy Inmob'!$C152</f>
        <v>20802.000028999999</v>
      </c>
      <c r="L215" s="65">
        <f>+L211*'Reg Proy Inmob'!$C152</f>
        <v>20802.000028999999</v>
      </c>
      <c r="M215" s="65">
        <f>+M211*'Reg Proy Inmob'!$C152</f>
        <v>20802.000028999999</v>
      </c>
      <c r="N215" s="65">
        <f>+N211*'Reg Proy Inmob'!$C152</f>
        <v>20802.000028999999</v>
      </c>
      <c r="O215" s="65">
        <f>+O211*'Reg Proy Inmob'!$C152</f>
        <v>20802.000028999999</v>
      </c>
      <c r="P215" s="65">
        <f>+P211*'Reg Proy Inmob'!$C152</f>
        <v>20802.000028999999</v>
      </c>
      <c r="Q215" s="65">
        <f>+Q211*'Reg Proy Inmob'!$C152</f>
        <v>20802.000028999999</v>
      </c>
      <c r="R215" s="65">
        <f>+R211*'Reg Proy Inmob'!$C152</f>
        <v>20802.000028999999</v>
      </c>
      <c r="S215" s="65">
        <f>+S211*'Reg Proy Inmob'!$C152</f>
        <v>20802.000028999999</v>
      </c>
      <c r="T215" s="65">
        <f>+T211*'Reg Proy Inmob'!$C152</f>
        <v>20802.000028999999</v>
      </c>
      <c r="U215" s="65">
        <f>+U211*'Reg Proy Inmob'!$C152</f>
        <v>20802.000028999999</v>
      </c>
      <c r="V215" s="65">
        <f>+V211*'Reg Proy Inmob'!$C152</f>
        <v>20802.000028999999</v>
      </c>
      <c r="W215" s="65">
        <f>+W211*'Reg Proy Inmob'!$C152</f>
        <v>20802.000028999999</v>
      </c>
      <c r="X215" s="65">
        <f>+X211*'Reg Proy Inmob'!$C152</f>
        <v>20802.000028999999</v>
      </c>
      <c r="Y215" s="65">
        <f>+Y211*'Reg Proy Inmob'!$C152</f>
        <v>20802.000028999999</v>
      </c>
      <c r="Z215" s="65">
        <f>+Z211*'Reg Proy Inmob'!$C152</f>
        <v>20802.000028999999</v>
      </c>
      <c r="AA215" s="65">
        <f>+AA211*'Reg Proy Inmob'!$C152</f>
        <v>20802.000028999999</v>
      </c>
    </row>
    <row r="216" spans="2:27" s="4" customFormat="1" outlineLevel="3">
      <c r="B216" s="21" t="s">
        <v>222</v>
      </c>
      <c r="C216" s="72">
        <v>2</v>
      </c>
      <c r="D216" s="23"/>
      <c r="G216" s="65">
        <f>+G211*'Reg Proy Inmob'!$C154</f>
        <v>3867.7282729999997</v>
      </c>
      <c r="H216" s="65">
        <f>+H211*'Reg Proy Inmob'!$C154</f>
        <v>3867.7282729999997</v>
      </c>
      <c r="I216" s="65">
        <f>+I211*'Reg Proy Inmob'!$C154</f>
        <v>3867.7282729999997</v>
      </c>
      <c r="J216" s="65">
        <f>+J211*'Reg Proy Inmob'!$C154</f>
        <v>3867.7282729999997</v>
      </c>
      <c r="K216" s="65">
        <f>+K211*'Reg Proy Inmob'!$C154</f>
        <v>3867.7282729999997</v>
      </c>
      <c r="L216" s="65">
        <f>+L211*'Reg Proy Inmob'!$C154</f>
        <v>3867.7282729999997</v>
      </c>
      <c r="M216" s="65">
        <f>+M211*'Reg Proy Inmob'!$C154</f>
        <v>3867.7282729999997</v>
      </c>
      <c r="N216" s="65">
        <f>+N211*'Reg Proy Inmob'!$C154</f>
        <v>3867.7282729999997</v>
      </c>
      <c r="O216" s="65">
        <f>+O211*'Reg Proy Inmob'!$C154</f>
        <v>3867.7282729999997</v>
      </c>
      <c r="P216" s="65">
        <f>+P211*'Reg Proy Inmob'!$C154</f>
        <v>3867.7282729999997</v>
      </c>
      <c r="Q216" s="65">
        <f>+Q211*'Reg Proy Inmob'!$C154</f>
        <v>3867.7282729999997</v>
      </c>
      <c r="R216" s="65">
        <f>+R211*'Reg Proy Inmob'!$C154</f>
        <v>3867.7282729999997</v>
      </c>
      <c r="S216" s="65">
        <f>+S211*'Reg Proy Inmob'!$C154</f>
        <v>3867.7282729999997</v>
      </c>
      <c r="T216" s="65">
        <f>+T211*'Reg Proy Inmob'!$C154</f>
        <v>3867.7282729999997</v>
      </c>
      <c r="U216" s="65">
        <f>+U211*'Reg Proy Inmob'!$C154</f>
        <v>3867.7282729999997</v>
      </c>
      <c r="V216" s="65">
        <f>+V211*'Reg Proy Inmob'!$C154</f>
        <v>3867.7282729999997</v>
      </c>
      <c r="W216" s="65">
        <f>+W211*'Reg Proy Inmob'!$C154</f>
        <v>3867.7282729999997</v>
      </c>
      <c r="X216" s="65">
        <f>+X211*'Reg Proy Inmob'!$C154</f>
        <v>3867.7282729999997</v>
      </c>
      <c r="Y216" s="65">
        <f>+Y211*'Reg Proy Inmob'!$C154</f>
        <v>3867.7282729999997</v>
      </c>
      <c r="Z216" s="65">
        <f>+Z211*'Reg Proy Inmob'!$C154</f>
        <v>3867.7282729999997</v>
      </c>
      <c r="AA216" s="65">
        <f>+AA211*'Reg Proy Inmob'!$C154</f>
        <v>3867.7282729999997</v>
      </c>
    </row>
    <row r="217" spans="2:27" s="4" customFormat="1" ht="34" outlineLevel="3">
      <c r="B217" s="25" t="s">
        <v>56</v>
      </c>
      <c r="C217" s="72">
        <v>-3</v>
      </c>
      <c r="G217" s="65">
        <f>+G211*'Reg Proy Inmob'!$C151</f>
        <v>-149.61323034</v>
      </c>
      <c r="H217" s="65">
        <f>+H211*'Reg Proy Inmob'!$C151</f>
        <v>-149.61323034</v>
      </c>
      <c r="I217" s="65">
        <f>+I211*'Reg Proy Inmob'!$C151</f>
        <v>-149.61323034</v>
      </c>
      <c r="J217" s="65">
        <f>+J211*'Reg Proy Inmob'!$C151</f>
        <v>-149.61323034</v>
      </c>
      <c r="K217" s="65">
        <f>+K211*'Reg Proy Inmob'!$C151</f>
        <v>-149.61323034</v>
      </c>
      <c r="L217" s="65">
        <f>+L211*'Reg Proy Inmob'!$C151</f>
        <v>-149.61323034</v>
      </c>
      <c r="M217" s="65">
        <f>+M211*'Reg Proy Inmob'!$C151</f>
        <v>-149.61323034</v>
      </c>
      <c r="N217" s="65">
        <f>+N211*'Reg Proy Inmob'!$C151</f>
        <v>-149.61323034</v>
      </c>
      <c r="O217" s="65">
        <f>+O211*'Reg Proy Inmob'!$C151</f>
        <v>-149.61323034</v>
      </c>
      <c r="P217" s="65">
        <f>+P211*'Reg Proy Inmob'!$C151</f>
        <v>-149.61323034</v>
      </c>
      <c r="Q217" s="65">
        <f>+Q211*'Reg Proy Inmob'!$C151</f>
        <v>-149.61323034</v>
      </c>
      <c r="R217" s="65">
        <f>+R211*'Reg Proy Inmob'!$C151</f>
        <v>-149.61323034</v>
      </c>
      <c r="S217" s="65">
        <f>+S211*'Reg Proy Inmob'!$C151</f>
        <v>-149.61323034</v>
      </c>
      <c r="T217" s="65">
        <f>+T211*'Reg Proy Inmob'!$C151</f>
        <v>-149.61323034</v>
      </c>
      <c r="U217" s="65">
        <f>+U211*'Reg Proy Inmob'!$C151</f>
        <v>-149.61323034</v>
      </c>
      <c r="V217" s="65">
        <f>+V211*'Reg Proy Inmob'!$C151</f>
        <v>-149.61323034</v>
      </c>
      <c r="W217" s="65">
        <f>+W211*'Reg Proy Inmob'!$C151</f>
        <v>-149.61323034</v>
      </c>
      <c r="X217" s="65">
        <f>+X211*'Reg Proy Inmob'!$C151</f>
        <v>-149.61323034</v>
      </c>
      <c r="Y217" s="65">
        <f>+Y211*'Reg Proy Inmob'!$C151</f>
        <v>-149.61323034</v>
      </c>
      <c r="Z217" s="65">
        <f>+Z211*'Reg Proy Inmob'!$C151</f>
        <v>-149.61323034</v>
      </c>
      <c r="AA217" s="65">
        <f>+AA211*'Reg Proy Inmob'!$C151</f>
        <v>-149.61323034</v>
      </c>
    </row>
    <row r="218" spans="2:27" s="4" customFormat="1" ht="17" outlineLevel="2">
      <c r="B218" s="22" t="s">
        <v>59</v>
      </c>
      <c r="C218" s="24"/>
      <c r="G218" s="65">
        <f>+G219+G220</f>
        <v>24669.728302</v>
      </c>
      <c r="H218" s="65">
        <f>+H219+H220</f>
        <v>24669.728302</v>
      </c>
      <c r="I218" s="65">
        <f>+I219+I220</f>
        <v>24669.728302</v>
      </c>
      <c r="J218" s="65">
        <f>+J219+J220</f>
        <v>24669.728302</v>
      </c>
      <c r="K218" s="65">
        <f>+K219+K220</f>
        <v>24669.728302</v>
      </c>
      <c r="L218" s="65">
        <f t="shared" ref="L218:AA218" si="65">+L219+L220</f>
        <v>24669.728302</v>
      </c>
      <c r="M218" s="65">
        <f t="shared" si="65"/>
        <v>24669.728302</v>
      </c>
      <c r="N218" s="65">
        <f t="shared" si="65"/>
        <v>24669.728302</v>
      </c>
      <c r="O218" s="65">
        <f t="shared" si="65"/>
        <v>24669.728302</v>
      </c>
      <c r="P218" s="65">
        <f t="shared" si="65"/>
        <v>24669.728302</v>
      </c>
      <c r="Q218" s="65">
        <f t="shared" si="65"/>
        <v>24669.728302</v>
      </c>
      <c r="R218" s="65">
        <f t="shared" si="65"/>
        <v>24669.728302</v>
      </c>
      <c r="S218" s="65">
        <f t="shared" si="65"/>
        <v>24669.728302</v>
      </c>
      <c r="T218" s="65">
        <f t="shared" si="65"/>
        <v>24669.728302</v>
      </c>
      <c r="U218" s="65">
        <f t="shared" si="65"/>
        <v>24669.728302</v>
      </c>
      <c r="V218" s="65">
        <f t="shared" si="65"/>
        <v>24669.728302</v>
      </c>
      <c r="W218" s="65">
        <f t="shared" si="65"/>
        <v>24669.728302</v>
      </c>
      <c r="X218" s="65">
        <f t="shared" si="65"/>
        <v>24669.728302</v>
      </c>
      <c r="Y218" s="65">
        <f t="shared" si="65"/>
        <v>24669.728302</v>
      </c>
      <c r="Z218" s="65">
        <f t="shared" si="65"/>
        <v>24669.728302</v>
      </c>
      <c r="AA218" s="65">
        <f t="shared" si="65"/>
        <v>24669.728302</v>
      </c>
    </row>
    <row r="219" spans="2:27" s="4" customFormat="1" ht="17" outlineLevel="3">
      <c r="B219" s="25" t="s">
        <v>6</v>
      </c>
      <c r="C219" s="72">
        <v>2</v>
      </c>
      <c r="G219" s="65">
        <f>+G211*'Reg Proy Inmob'!$C153</f>
        <v>20802.000028999999</v>
      </c>
      <c r="H219" s="65">
        <f>+H211*'Reg Proy Inmob'!$C153</f>
        <v>20802.000028999999</v>
      </c>
      <c r="I219" s="65">
        <f>+I211*'Reg Proy Inmob'!$C153</f>
        <v>20802.000028999999</v>
      </c>
      <c r="J219" s="65">
        <f>+J211*'Reg Proy Inmob'!$C153</f>
        <v>20802.000028999999</v>
      </c>
      <c r="K219" s="65">
        <f>+K211*'Reg Proy Inmob'!$C153</f>
        <v>20802.000028999999</v>
      </c>
      <c r="L219" s="65">
        <f>+L211*'Reg Proy Inmob'!$C153</f>
        <v>20802.000028999999</v>
      </c>
      <c r="M219" s="65">
        <f>+M211*'Reg Proy Inmob'!$C153</f>
        <v>20802.000028999999</v>
      </c>
      <c r="N219" s="65">
        <f>+N211*'Reg Proy Inmob'!$C153</f>
        <v>20802.000028999999</v>
      </c>
      <c r="O219" s="65">
        <f>+O211*'Reg Proy Inmob'!$C153</f>
        <v>20802.000028999999</v>
      </c>
      <c r="P219" s="65">
        <f>+P211*'Reg Proy Inmob'!$C153</f>
        <v>20802.000028999999</v>
      </c>
      <c r="Q219" s="65">
        <f>+Q211*'Reg Proy Inmob'!$C153</f>
        <v>20802.000028999999</v>
      </c>
      <c r="R219" s="65">
        <f>+R211*'Reg Proy Inmob'!$C153</f>
        <v>20802.000028999999</v>
      </c>
      <c r="S219" s="65">
        <f>+S211*'Reg Proy Inmob'!$C153</f>
        <v>20802.000028999999</v>
      </c>
      <c r="T219" s="65">
        <f>+T211*'Reg Proy Inmob'!$C153</f>
        <v>20802.000028999999</v>
      </c>
      <c r="U219" s="65">
        <f>+U211*'Reg Proy Inmob'!$C153</f>
        <v>20802.000028999999</v>
      </c>
      <c r="V219" s="65">
        <f>+V211*'Reg Proy Inmob'!$C153</f>
        <v>20802.000028999999</v>
      </c>
      <c r="W219" s="65">
        <f>+W211*'Reg Proy Inmob'!$C153</f>
        <v>20802.000028999999</v>
      </c>
      <c r="X219" s="65">
        <f>+X211*'Reg Proy Inmob'!$C153</f>
        <v>20802.000028999999</v>
      </c>
      <c r="Y219" s="65">
        <f>+Y211*'Reg Proy Inmob'!$C153</f>
        <v>20802.000028999999</v>
      </c>
      <c r="Z219" s="65">
        <f>+Z211*'Reg Proy Inmob'!$C153</f>
        <v>20802.000028999999</v>
      </c>
      <c r="AA219" s="65">
        <f>+AA211*'Reg Proy Inmob'!$C153</f>
        <v>20802.000028999999</v>
      </c>
    </row>
    <row r="220" spans="2:27" s="4" customFormat="1" ht="17" outlineLevel="3">
      <c r="B220" s="25" t="s">
        <v>222</v>
      </c>
      <c r="C220" s="72">
        <v>2</v>
      </c>
      <c r="G220" s="65">
        <f>+G211*'Reg Proy Inmob'!$C155</f>
        <v>3867.7282729999997</v>
      </c>
      <c r="H220" s="65">
        <f>+H211*'Reg Proy Inmob'!$C155</f>
        <v>3867.7282729999997</v>
      </c>
      <c r="I220" s="65">
        <f>+I211*'Reg Proy Inmob'!$C155</f>
        <v>3867.7282729999997</v>
      </c>
      <c r="J220" s="65">
        <f>+J211*'Reg Proy Inmob'!$C155</f>
        <v>3867.7282729999997</v>
      </c>
      <c r="K220" s="65">
        <f>+K211*'Reg Proy Inmob'!$C155</f>
        <v>3867.7282729999997</v>
      </c>
      <c r="L220" s="65">
        <f>+L211*'Reg Proy Inmob'!$C155</f>
        <v>3867.7282729999997</v>
      </c>
      <c r="M220" s="65">
        <f>+M211*'Reg Proy Inmob'!$C155</f>
        <v>3867.7282729999997</v>
      </c>
      <c r="N220" s="65">
        <f>+N211*'Reg Proy Inmob'!$C155</f>
        <v>3867.7282729999997</v>
      </c>
      <c r="O220" s="65">
        <f>+O211*'Reg Proy Inmob'!$C155</f>
        <v>3867.7282729999997</v>
      </c>
      <c r="P220" s="65">
        <f>+P211*'Reg Proy Inmob'!$C155</f>
        <v>3867.7282729999997</v>
      </c>
      <c r="Q220" s="65">
        <f>+Q211*'Reg Proy Inmob'!$C155</f>
        <v>3867.7282729999997</v>
      </c>
      <c r="R220" s="65">
        <f>+R211*'Reg Proy Inmob'!$C155</f>
        <v>3867.7282729999997</v>
      </c>
      <c r="S220" s="65">
        <f>+S211*'Reg Proy Inmob'!$C155</f>
        <v>3867.7282729999997</v>
      </c>
      <c r="T220" s="65">
        <f>+T211*'Reg Proy Inmob'!$C155</f>
        <v>3867.7282729999997</v>
      </c>
      <c r="U220" s="65">
        <f>+U211*'Reg Proy Inmob'!$C155</f>
        <v>3867.7282729999997</v>
      </c>
      <c r="V220" s="65">
        <f>+V211*'Reg Proy Inmob'!$C155</f>
        <v>3867.7282729999997</v>
      </c>
      <c r="W220" s="65">
        <f>+W211*'Reg Proy Inmob'!$C155</f>
        <v>3867.7282729999997</v>
      </c>
      <c r="X220" s="65">
        <f>+X211*'Reg Proy Inmob'!$C155</f>
        <v>3867.7282729999997</v>
      </c>
      <c r="Y220" s="65">
        <f>+Y211*'Reg Proy Inmob'!$C155</f>
        <v>3867.7282729999997</v>
      </c>
      <c r="Z220" s="65">
        <f>+Z211*'Reg Proy Inmob'!$C155</f>
        <v>3867.7282729999997</v>
      </c>
      <c r="AA220" s="65">
        <f>+AA211*'Reg Proy Inmob'!$C155</f>
        <v>3867.7282729999997</v>
      </c>
    </row>
    <row r="221" spans="2:27" s="4" customFormat="1" ht="17" outlineLevel="2">
      <c r="B221" s="22" t="s">
        <v>60</v>
      </c>
      <c r="C221" s="24"/>
      <c r="G221" s="65">
        <f>-G222+G223+G224+G225+G226+G227+G228+G229</f>
        <v>0</v>
      </c>
      <c r="H221" s="65">
        <f t="shared" ref="H221:AA221" si="66">-H222+H223+H224+H225+H226+H227+H228+H229</f>
        <v>0</v>
      </c>
      <c r="I221" s="65">
        <f t="shared" si="66"/>
        <v>0</v>
      </c>
      <c r="J221" s="65">
        <f t="shared" si="66"/>
        <v>0</v>
      </c>
      <c r="K221" s="65">
        <f t="shared" si="66"/>
        <v>0</v>
      </c>
      <c r="L221" s="65">
        <f t="shared" si="66"/>
        <v>0</v>
      </c>
      <c r="M221" s="65">
        <f t="shared" si="66"/>
        <v>0</v>
      </c>
      <c r="N221" s="65">
        <f t="shared" si="66"/>
        <v>0</v>
      </c>
      <c r="O221" s="65">
        <f t="shared" si="66"/>
        <v>0</v>
      </c>
      <c r="P221" s="65">
        <f t="shared" si="66"/>
        <v>0</v>
      </c>
      <c r="Q221" s="65">
        <f t="shared" si="66"/>
        <v>0</v>
      </c>
      <c r="R221" s="65">
        <f t="shared" si="66"/>
        <v>0</v>
      </c>
      <c r="S221" s="65">
        <f t="shared" si="66"/>
        <v>0</v>
      </c>
      <c r="T221" s="65">
        <f t="shared" si="66"/>
        <v>0</v>
      </c>
      <c r="U221" s="65">
        <f t="shared" si="66"/>
        <v>0</v>
      </c>
      <c r="V221" s="65">
        <f t="shared" si="66"/>
        <v>0</v>
      </c>
      <c r="W221" s="65">
        <f t="shared" si="66"/>
        <v>0</v>
      </c>
      <c r="X221" s="65">
        <f t="shared" si="66"/>
        <v>0</v>
      </c>
      <c r="Y221" s="65">
        <f t="shared" si="66"/>
        <v>0</v>
      </c>
      <c r="Z221" s="65">
        <f t="shared" si="66"/>
        <v>0</v>
      </c>
      <c r="AA221" s="65">
        <f t="shared" si="66"/>
        <v>0</v>
      </c>
    </row>
    <row r="222" spans="2:27" outlineLevel="3">
      <c r="B222" s="21" t="s">
        <v>51</v>
      </c>
      <c r="C222" s="20"/>
      <c r="G222" s="67"/>
      <c r="H222" s="67"/>
      <c r="I222" s="67"/>
      <c r="J222" s="67"/>
      <c r="K222" s="67"/>
      <c r="L222" s="67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38"/>
    </row>
    <row r="223" spans="2:27" outlineLevel="3">
      <c r="B223" s="21" t="s">
        <v>52</v>
      </c>
      <c r="C223" s="20"/>
      <c r="G223" s="67"/>
      <c r="H223" s="67"/>
      <c r="I223" s="67"/>
      <c r="J223" s="67"/>
      <c r="K223" s="67"/>
      <c r="L223" s="67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38"/>
    </row>
    <row r="224" spans="2:27" ht="51" outlineLevel="3">
      <c r="B224" s="25" t="s">
        <v>54</v>
      </c>
      <c r="C224" s="20"/>
      <c r="G224" s="67"/>
      <c r="H224" s="67"/>
      <c r="I224" s="67"/>
      <c r="J224" s="67"/>
      <c r="K224" s="67"/>
      <c r="L224" s="67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38"/>
    </row>
    <row r="225" spans="2:27" s="4" customFormat="1" ht="17" outlineLevel="3">
      <c r="B225" s="25" t="s">
        <v>61</v>
      </c>
      <c r="C225" s="24"/>
      <c r="G225" s="67"/>
      <c r="H225" s="67"/>
      <c r="I225" s="67"/>
      <c r="J225" s="67"/>
      <c r="K225" s="67"/>
      <c r="L225" s="67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57"/>
    </row>
    <row r="226" spans="2:27" s="4" customFormat="1" ht="17" outlineLevel="3">
      <c r="B226" s="25" t="s">
        <v>62</v>
      </c>
      <c r="C226" s="24"/>
      <c r="G226" s="67"/>
      <c r="H226" s="67"/>
      <c r="I226" s="67"/>
      <c r="J226" s="67"/>
      <c r="K226" s="67"/>
      <c r="L226" s="67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57"/>
    </row>
    <row r="227" spans="2:27" s="4" customFormat="1" ht="17" outlineLevel="3">
      <c r="B227" s="25" t="s">
        <v>63</v>
      </c>
      <c r="C227" s="24"/>
      <c r="G227" s="67"/>
      <c r="H227" s="67"/>
      <c r="I227" s="67"/>
      <c r="J227" s="67"/>
      <c r="K227" s="67"/>
      <c r="L227" s="67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57"/>
    </row>
    <row r="228" spans="2:27" s="4" customFormat="1" ht="17" outlineLevel="3">
      <c r="B228" s="25" t="s">
        <v>64</v>
      </c>
      <c r="C228" s="24"/>
      <c r="G228" s="67"/>
      <c r="H228" s="67"/>
      <c r="I228" s="67"/>
      <c r="J228" s="67"/>
      <c r="K228" s="67"/>
      <c r="L228" s="67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57"/>
    </row>
    <row r="229" spans="2:27" s="4" customFormat="1" ht="34" outlineLevel="3">
      <c r="B229" s="25" t="s">
        <v>65</v>
      </c>
      <c r="C229" s="24"/>
      <c r="G229" s="67"/>
      <c r="H229" s="67"/>
      <c r="I229" s="67"/>
      <c r="J229" s="67"/>
      <c r="K229" s="67"/>
      <c r="L229" s="67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57"/>
    </row>
    <row r="230" spans="2:27" s="4" customFormat="1" outlineLevel="2">
      <c r="B230" s="25"/>
      <c r="C230" s="24"/>
    </row>
    <row r="231" spans="2:27" outlineLevel="1">
      <c r="B231" s="18" t="s">
        <v>239</v>
      </c>
      <c r="C231" s="20"/>
      <c r="D231" t="s">
        <v>351</v>
      </c>
    </row>
    <row r="232" spans="2:27" outlineLevel="2">
      <c r="B232" s="19" t="s">
        <v>220</v>
      </c>
      <c r="C232" s="20"/>
    </row>
    <row r="233" spans="2:27" ht="34" outlineLevel="3">
      <c r="B233" s="25" t="s">
        <v>58</v>
      </c>
      <c r="C233" s="20"/>
      <c r="F233" s="60"/>
      <c r="G233" s="60">
        <v>15</v>
      </c>
      <c r="H233" s="60">
        <f>+G233+3*12</f>
        <v>51</v>
      </c>
      <c r="I233" s="60">
        <v>75</v>
      </c>
      <c r="J233" s="60">
        <f>+I233</f>
        <v>75</v>
      </c>
      <c r="K233" s="60">
        <f>+J233</f>
        <v>75</v>
      </c>
      <c r="L233" s="60">
        <f t="shared" ref="L233:AA233" si="67">+K233</f>
        <v>75</v>
      </c>
      <c r="M233" s="60">
        <f t="shared" si="67"/>
        <v>75</v>
      </c>
      <c r="N233" s="60">
        <f t="shared" si="67"/>
        <v>75</v>
      </c>
      <c r="O233" s="60">
        <f t="shared" si="67"/>
        <v>75</v>
      </c>
      <c r="P233" s="60">
        <f t="shared" si="67"/>
        <v>75</v>
      </c>
      <c r="Q233" s="60">
        <f t="shared" si="67"/>
        <v>75</v>
      </c>
      <c r="R233" s="60">
        <f t="shared" si="67"/>
        <v>75</v>
      </c>
      <c r="S233" s="60">
        <f t="shared" si="67"/>
        <v>75</v>
      </c>
      <c r="T233" s="60">
        <f t="shared" si="67"/>
        <v>75</v>
      </c>
      <c r="U233" s="60">
        <f t="shared" si="67"/>
        <v>75</v>
      </c>
      <c r="V233" s="60">
        <f t="shared" si="67"/>
        <v>75</v>
      </c>
      <c r="W233" s="60">
        <f t="shared" si="67"/>
        <v>75</v>
      </c>
      <c r="X233" s="60">
        <f t="shared" si="67"/>
        <v>75</v>
      </c>
      <c r="Y233" s="60">
        <f t="shared" si="67"/>
        <v>75</v>
      </c>
      <c r="Z233" s="60">
        <f t="shared" si="67"/>
        <v>75</v>
      </c>
      <c r="AA233" s="60">
        <f t="shared" si="67"/>
        <v>75</v>
      </c>
    </row>
    <row r="234" spans="2:27" ht="17" outlineLevel="3">
      <c r="B234" s="25" t="s">
        <v>66</v>
      </c>
      <c r="C234" s="20"/>
      <c r="F234" s="61"/>
      <c r="G234" s="61">
        <v>6689</v>
      </c>
      <c r="H234" s="61">
        <v>23345</v>
      </c>
      <c r="I234" s="61">
        <v>35105.905776</v>
      </c>
      <c r="J234" s="61">
        <v>35105.905776</v>
      </c>
      <c r="K234" s="61">
        <v>35105.905776</v>
      </c>
      <c r="L234" s="61">
        <v>35105.905776</v>
      </c>
      <c r="M234" s="61">
        <v>35105.905776</v>
      </c>
      <c r="N234" s="61">
        <v>35105.905776</v>
      </c>
      <c r="O234" s="61">
        <v>35105.905776</v>
      </c>
      <c r="P234" s="61">
        <v>35105.905776</v>
      </c>
      <c r="Q234" s="61">
        <v>35105.905776</v>
      </c>
      <c r="R234" s="61">
        <v>35105.905776</v>
      </c>
      <c r="S234" s="61">
        <v>35105.905776</v>
      </c>
      <c r="T234" s="61">
        <v>35105.905776</v>
      </c>
      <c r="U234" s="61">
        <v>35105.905776</v>
      </c>
      <c r="V234" s="61">
        <v>35105.905776</v>
      </c>
      <c r="W234" s="61">
        <v>35105.905776</v>
      </c>
      <c r="X234" s="61">
        <v>35105.905776</v>
      </c>
      <c r="Y234" s="61">
        <v>35105.905776</v>
      </c>
      <c r="Z234" s="61">
        <v>35105.905776</v>
      </c>
      <c r="AA234" s="61">
        <v>35105.905776</v>
      </c>
    </row>
    <row r="235" spans="2:27" ht="17" outlineLevel="3">
      <c r="B235" s="25" t="s">
        <v>67</v>
      </c>
      <c r="C235" s="20"/>
      <c r="F235" s="73">
        <f t="shared" ref="F235:K235" si="68">+IF(ISERROR(F234/F233),0,F234/F233)</f>
        <v>0</v>
      </c>
      <c r="G235" s="73">
        <f t="shared" si="68"/>
        <v>445.93333333333334</v>
      </c>
      <c r="H235" s="73">
        <f t="shared" si="68"/>
        <v>457.74509803921569</v>
      </c>
      <c r="I235" s="73">
        <f t="shared" si="68"/>
        <v>468.07874368</v>
      </c>
      <c r="J235" s="73">
        <f t="shared" si="68"/>
        <v>468.07874368</v>
      </c>
      <c r="K235" s="73">
        <f t="shared" si="68"/>
        <v>468.07874368</v>
      </c>
      <c r="L235" s="73">
        <f t="shared" ref="L235:AA235" si="69">+IF(ISERROR(L234/L233),0,L234/L233)</f>
        <v>468.07874368</v>
      </c>
      <c r="M235" s="73">
        <f t="shared" si="69"/>
        <v>468.07874368</v>
      </c>
      <c r="N235" s="73">
        <f t="shared" si="69"/>
        <v>468.07874368</v>
      </c>
      <c r="O235" s="73">
        <f t="shared" si="69"/>
        <v>468.07874368</v>
      </c>
      <c r="P235" s="73">
        <f t="shared" si="69"/>
        <v>468.07874368</v>
      </c>
      <c r="Q235" s="73">
        <f t="shared" si="69"/>
        <v>468.07874368</v>
      </c>
      <c r="R235" s="73">
        <f t="shared" si="69"/>
        <v>468.07874368</v>
      </c>
      <c r="S235" s="73">
        <f t="shared" si="69"/>
        <v>468.07874368</v>
      </c>
      <c r="T235" s="73">
        <f t="shared" si="69"/>
        <v>468.07874368</v>
      </c>
      <c r="U235" s="73">
        <f t="shared" si="69"/>
        <v>468.07874368</v>
      </c>
      <c r="V235" s="73">
        <f t="shared" si="69"/>
        <v>468.07874368</v>
      </c>
      <c r="W235" s="73">
        <f t="shared" si="69"/>
        <v>468.07874368</v>
      </c>
      <c r="X235" s="73">
        <f t="shared" si="69"/>
        <v>468.07874368</v>
      </c>
      <c r="Y235" s="73">
        <f t="shared" si="69"/>
        <v>468.07874368</v>
      </c>
      <c r="Z235" s="73">
        <f t="shared" si="69"/>
        <v>468.07874368</v>
      </c>
      <c r="AA235" s="73">
        <f t="shared" si="69"/>
        <v>468.07874368</v>
      </c>
    </row>
    <row r="236" spans="2:27" ht="17" outlineLevel="2">
      <c r="B236" s="22" t="s">
        <v>216</v>
      </c>
      <c r="C236" s="20"/>
      <c r="G236" s="26"/>
      <c r="H236" s="26"/>
    </row>
    <row r="237" spans="2:27" ht="34" outlineLevel="3">
      <c r="B237" s="25" t="s">
        <v>217</v>
      </c>
      <c r="C237" s="20"/>
      <c r="G237" s="69"/>
      <c r="H237" s="69"/>
      <c r="I237" s="66"/>
      <c r="J237" s="66">
        <f>+J233</f>
        <v>75</v>
      </c>
      <c r="K237" s="66">
        <f>+J237</f>
        <v>75</v>
      </c>
      <c r="L237" s="66">
        <f t="shared" ref="L237:AA237" si="70">+K237</f>
        <v>75</v>
      </c>
      <c r="M237" s="66">
        <f t="shared" si="70"/>
        <v>75</v>
      </c>
      <c r="N237" s="66">
        <f t="shared" si="70"/>
        <v>75</v>
      </c>
      <c r="O237" s="66">
        <f t="shared" si="70"/>
        <v>75</v>
      </c>
      <c r="P237" s="66">
        <f t="shared" si="70"/>
        <v>75</v>
      </c>
      <c r="Q237" s="66">
        <f t="shared" si="70"/>
        <v>75</v>
      </c>
      <c r="R237" s="66">
        <f t="shared" si="70"/>
        <v>75</v>
      </c>
      <c r="S237" s="66">
        <f t="shared" si="70"/>
        <v>75</v>
      </c>
      <c r="T237" s="66">
        <f t="shared" si="70"/>
        <v>75</v>
      </c>
      <c r="U237" s="66">
        <f t="shared" si="70"/>
        <v>75</v>
      </c>
      <c r="V237" s="66">
        <f t="shared" si="70"/>
        <v>75</v>
      </c>
      <c r="W237" s="66">
        <f t="shared" si="70"/>
        <v>75</v>
      </c>
      <c r="X237" s="66">
        <f t="shared" si="70"/>
        <v>75</v>
      </c>
      <c r="Y237" s="66">
        <f t="shared" si="70"/>
        <v>75</v>
      </c>
      <c r="Z237" s="66">
        <f t="shared" si="70"/>
        <v>75</v>
      </c>
      <c r="AA237" s="66">
        <f t="shared" si="70"/>
        <v>75</v>
      </c>
    </row>
    <row r="238" spans="2:27" ht="34" outlineLevel="3">
      <c r="B238" s="25" t="s">
        <v>218</v>
      </c>
      <c r="C238" s="20"/>
      <c r="G238" s="69"/>
      <c r="H238" s="69"/>
      <c r="I238" s="66"/>
      <c r="J238" s="66">
        <f>+J234</f>
        <v>35105.905776</v>
      </c>
      <c r="K238" s="66">
        <f>+J238</f>
        <v>35105.905776</v>
      </c>
      <c r="L238" s="66">
        <f t="shared" ref="L238:AA238" si="71">+K238</f>
        <v>35105.905776</v>
      </c>
      <c r="M238" s="66">
        <f t="shared" si="71"/>
        <v>35105.905776</v>
      </c>
      <c r="N238" s="66">
        <f t="shared" si="71"/>
        <v>35105.905776</v>
      </c>
      <c r="O238" s="66">
        <f t="shared" si="71"/>
        <v>35105.905776</v>
      </c>
      <c r="P238" s="66">
        <f t="shared" si="71"/>
        <v>35105.905776</v>
      </c>
      <c r="Q238" s="66">
        <f t="shared" si="71"/>
        <v>35105.905776</v>
      </c>
      <c r="R238" s="66">
        <f t="shared" si="71"/>
        <v>35105.905776</v>
      </c>
      <c r="S238" s="66">
        <f t="shared" si="71"/>
        <v>35105.905776</v>
      </c>
      <c r="T238" s="66">
        <f t="shared" si="71"/>
        <v>35105.905776</v>
      </c>
      <c r="U238" s="66">
        <f t="shared" si="71"/>
        <v>35105.905776</v>
      </c>
      <c r="V238" s="66">
        <f t="shared" si="71"/>
        <v>35105.905776</v>
      </c>
      <c r="W238" s="66">
        <f t="shared" si="71"/>
        <v>35105.905776</v>
      </c>
      <c r="X238" s="66">
        <f t="shared" si="71"/>
        <v>35105.905776</v>
      </c>
      <c r="Y238" s="66">
        <f t="shared" si="71"/>
        <v>35105.905776</v>
      </c>
      <c r="Z238" s="66">
        <f t="shared" si="71"/>
        <v>35105.905776</v>
      </c>
      <c r="AA238" s="66">
        <f t="shared" si="71"/>
        <v>35105.905776</v>
      </c>
    </row>
    <row r="239" spans="2:27" ht="17" outlineLevel="3">
      <c r="B239" s="25" t="s">
        <v>219</v>
      </c>
      <c r="C239" s="20"/>
      <c r="G239" s="26">
        <f>+IF(ISERROR(G238/G237),0,G238/G237)</f>
        <v>0</v>
      </c>
      <c r="H239" s="26">
        <f>+IF(ISERROR(H238/H237),0,H238/H237)</f>
        <v>0</v>
      </c>
      <c r="I239" s="26">
        <f>+IF(ISERROR(I238/I237),0,I238/I237)</f>
        <v>0</v>
      </c>
      <c r="J239" s="26">
        <f>+IF(ISERROR(J238/J237),0,J238/J237)</f>
        <v>468.07874368</v>
      </c>
      <c r="K239" s="26">
        <f>+IF(ISERROR(K238/K237),0,K238/K237)</f>
        <v>468.07874368</v>
      </c>
      <c r="L239" s="26">
        <f t="shared" ref="L239:AA239" si="72">+IF(ISERROR(L238/L237),0,L238/L237)</f>
        <v>468.07874368</v>
      </c>
      <c r="M239" s="26">
        <f t="shared" si="72"/>
        <v>468.07874368</v>
      </c>
      <c r="N239" s="26">
        <f t="shared" si="72"/>
        <v>468.07874368</v>
      </c>
      <c r="O239" s="26">
        <f t="shared" si="72"/>
        <v>468.07874368</v>
      </c>
      <c r="P239" s="26">
        <f t="shared" si="72"/>
        <v>468.07874368</v>
      </c>
      <c r="Q239" s="26">
        <f t="shared" si="72"/>
        <v>468.07874368</v>
      </c>
      <c r="R239" s="26">
        <f t="shared" si="72"/>
        <v>468.07874368</v>
      </c>
      <c r="S239" s="26">
        <f t="shared" si="72"/>
        <v>468.07874368</v>
      </c>
      <c r="T239" s="26">
        <f t="shared" si="72"/>
        <v>468.07874368</v>
      </c>
      <c r="U239" s="26">
        <f t="shared" si="72"/>
        <v>468.07874368</v>
      </c>
      <c r="V239" s="26">
        <f t="shared" si="72"/>
        <v>468.07874368</v>
      </c>
      <c r="W239" s="26">
        <f t="shared" si="72"/>
        <v>468.07874368</v>
      </c>
      <c r="X239" s="26">
        <f t="shared" si="72"/>
        <v>468.07874368</v>
      </c>
      <c r="Y239" s="26">
        <f t="shared" si="72"/>
        <v>468.07874368</v>
      </c>
      <c r="Z239" s="26">
        <f t="shared" si="72"/>
        <v>468.07874368</v>
      </c>
      <c r="AA239" s="26">
        <f t="shared" si="72"/>
        <v>468.07874368</v>
      </c>
    </row>
    <row r="240" spans="2:27" ht="17" outlineLevel="2">
      <c r="B240" s="22" t="s">
        <v>68</v>
      </c>
      <c r="C240" s="20"/>
    </row>
    <row r="241" spans="2:27" ht="34" outlineLevel="2">
      <c r="B241" s="22" t="s">
        <v>221</v>
      </c>
      <c r="C241" s="20" t="s">
        <v>53</v>
      </c>
      <c r="D241" s="1">
        <v>0.11</v>
      </c>
      <c r="F241">
        <v>0</v>
      </c>
      <c r="G241" s="60"/>
      <c r="H241" s="60"/>
      <c r="I241" s="60"/>
      <c r="J241" s="60"/>
      <c r="K241" s="60"/>
      <c r="L241" s="60"/>
    </row>
    <row r="242" spans="2:27" outlineLevel="2">
      <c r="B242" s="19" t="s">
        <v>55</v>
      </c>
      <c r="C242" s="20"/>
      <c r="F242" s="13"/>
      <c r="G242" s="70"/>
      <c r="H242" s="70"/>
      <c r="I242" s="70">
        <v>0.45650000000000002</v>
      </c>
      <c r="J242" s="70">
        <v>1</v>
      </c>
      <c r="K242" s="70">
        <v>1</v>
      </c>
      <c r="L242" s="70">
        <v>1</v>
      </c>
      <c r="M242" s="70">
        <v>1</v>
      </c>
      <c r="N242" s="70">
        <v>1</v>
      </c>
      <c r="O242" s="70">
        <v>1</v>
      </c>
      <c r="P242" s="70">
        <v>1</v>
      </c>
      <c r="Q242" s="70">
        <v>1</v>
      </c>
      <c r="R242" s="70">
        <v>1</v>
      </c>
      <c r="S242" s="70">
        <v>1</v>
      </c>
      <c r="T242" s="70">
        <v>1</v>
      </c>
      <c r="U242" s="70">
        <v>1</v>
      </c>
      <c r="V242" s="70">
        <v>1</v>
      </c>
      <c r="W242" s="70">
        <v>1</v>
      </c>
      <c r="X242" s="70">
        <v>1</v>
      </c>
      <c r="Y242" s="70">
        <v>1</v>
      </c>
      <c r="Z242" s="70">
        <v>1</v>
      </c>
      <c r="AA242" s="70">
        <v>1</v>
      </c>
    </row>
    <row r="243" spans="2:27" outlineLevel="2">
      <c r="B243" s="19" t="s">
        <v>224</v>
      </c>
      <c r="C243" s="20"/>
      <c r="F243" s="13"/>
      <c r="G243" s="64">
        <f t="shared" ref="G243:L243" si="73">+G242*G234</f>
        <v>0</v>
      </c>
      <c r="H243" s="64">
        <f t="shared" si="73"/>
        <v>0</v>
      </c>
      <c r="I243" s="64">
        <f t="shared" si="73"/>
        <v>16025.845986744</v>
      </c>
      <c r="J243" s="64">
        <f t="shared" si="73"/>
        <v>35105.905776</v>
      </c>
      <c r="K243" s="64">
        <f t="shared" si="73"/>
        <v>35105.905776</v>
      </c>
      <c r="L243" s="64">
        <f t="shared" si="73"/>
        <v>35105.905776</v>
      </c>
      <c r="M243" s="64">
        <f t="shared" ref="M243:AA243" si="74">+M242*M234</f>
        <v>35105.905776</v>
      </c>
      <c r="N243" s="64">
        <f t="shared" si="74"/>
        <v>35105.905776</v>
      </c>
      <c r="O243" s="64">
        <f t="shared" si="74"/>
        <v>35105.905776</v>
      </c>
      <c r="P243" s="64">
        <f t="shared" si="74"/>
        <v>35105.905776</v>
      </c>
      <c r="Q243" s="64">
        <f t="shared" si="74"/>
        <v>35105.905776</v>
      </c>
      <c r="R243" s="64">
        <f t="shared" si="74"/>
        <v>35105.905776</v>
      </c>
      <c r="S243" s="64">
        <f t="shared" si="74"/>
        <v>35105.905776</v>
      </c>
      <c r="T243" s="64">
        <f t="shared" si="74"/>
        <v>35105.905776</v>
      </c>
      <c r="U243" s="64">
        <f t="shared" si="74"/>
        <v>35105.905776</v>
      </c>
      <c r="V243" s="64">
        <f t="shared" si="74"/>
        <v>35105.905776</v>
      </c>
      <c r="W243" s="64">
        <f t="shared" si="74"/>
        <v>35105.905776</v>
      </c>
      <c r="X243" s="64">
        <f t="shared" si="74"/>
        <v>35105.905776</v>
      </c>
      <c r="Y243" s="64">
        <f t="shared" si="74"/>
        <v>35105.905776</v>
      </c>
      <c r="Z243" s="64">
        <f t="shared" si="74"/>
        <v>35105.905776</v>
      </c>
      <c r="AA243" s="64">
        <f t="shared" si="74"/>
        <v>35105.905776</v>
      </c>
    </row>
    <row r="244" spans="2:27" outlineLevel="2">
      <c r="B244" s="19" t="s">
        <v>225</v>
      </c>
      <c r="C244" s="20"/>
      <c r="G244" s="65">
        <f t="shared" ref="G244:L244" si="75">+G245+G246+G247+G248+G249</f>
        <v>0</v>
      </c>
      <c r="H244" s="65">
        <f t="shared" si="75"/>
        <v>0</v>
      </c>
      <c r="I244" s="65">
        <f t="shared" si="75"/>
        <v>9617.2365894972863</v>
      </c>
      <c r="J244" s="65">
        <f t="shared" si="75"/>
        <v>21067.330973707089</v>
      </c>
      <c r="K244" s="65">
        <f t="shared" si="75"/>
        <v>21067.330973707089</v>
      </c>
      <c r="L244" s="65">
        <f t="shared" si="75"/>
        <v>21067.330973707089</v>
      </c>
      <c r="M244" s="65">
        <f t="shared" ref="M244:AA244" si="76">+M245+M246+M247+M248+M249</f>
        <v>21067.330973707089</v>
      </c>
      <c r="N244" s="65">
        <f t="shared" si="76"/>
        <v>21067.330973707089</v>
      </c>
      <c r="O244" s="65">
        <f t="shared" si="76"/>
        <v>21067.330973707089</v>
      </c>
      <c r="P244" s="65">
        <f t="shared" si="76"/>
        <v>21067.330973707089</v>
      </c>
      <c r="Q244" s="65">
        <f t="shared" si="76"/>
        <v>21067.330973707089</v>
      </c>
      <c r="R244" s="65">
        <f t="shared" si="76"/>
        <v>21067.330973707089</v>
      </c>
      <c r="S244" s="65">
        <f t="shared" si="76"/>
        <v>21067.330973707089</v>
      </c>
      <c r="T244" s="65">
        <f t="shared" si="76"/>
        <v>21067.330973707089</v>
      </c>
      <c r="U244" s="65">
        <f t="shared" si="76"/>
        <v>21067.330973707089</v>
      </c>
      <c r="V244" s="65">
        <f t="shared" si="76"/>
        <v>21067.330973707089</v>
      </c>
      <c r="W244" s="65">
        <f t="shared" si="76"/>
        <v>21067.330973707089</v>
      </c>
      <c r="X244" s="65">
        <f t="shared" si="76"/>
        <v>21067.330973707089</v>
      </c>
      <c r="Y244" s="65">
        <f t="shared" si="76"/>
        <v>21067.330973707089</v>
      </c>
      <c r="Z244" s="65">
        <f t="shared" si="76"/>
        <v>21067.330973707089</v>
      </c>
      <c r="AA244" s="65">
        <f t="shared" si="76"/>
        <v>21067.330973707089</v>
      </c>
    </row>
    <row r="245" spans="2:27" s="4" customFormat="1" outlineLevel="3">
      <c r="B245" s="21" t="s">
        <v>7</v>
      </c>
      <c r="C245" s="21"/>
      <c r="D245" s="23"/>
      <c r="G245" s="65">
        <f>+G243*'Reg Proy Inmob'!$C174</f>
        <v>0</v>
      </c>
      <c r="H245" s="65">
        <f>+H243*'Reg Proy Inmob'!$C174</f>
        <v>0</v>
      </c>
      <c r="I245" s="65">
        <f>+I243*'Reg Proy Inmob'!$C174</f>
        <v>0</v>
      </c>
      <c r="J245" s="65">
        <f>+J243*'Reg Proy Inmob'!$C174</f>
        <v>0</v>
      </c>
      <c r="K245" s="65">
        <f>+K243*'Reg Proy Inmob'!$C174</f>
        <v>0</v>
      </c>
      <c r="L245" s="65">
        <f>+L243*'Reg Proy Inmob'!$C174</f>
        <v>0</v>
      </c>
      <c r="M245" s="65">
        <f>+M243*'Reg Proy Inmob'!$C174</f>
        <v>0</v>
      </c>
      <c r="N245" s="65">
        <f>+N243*'Reg Proy Inmob'!$C174</f>
        <v>0</v>
      </c>
      <c r="O245" s="65">
        <f>+O243*'Reg Proy Inmob'!$C174</f>
        <v>0</v>
      </c>
      <c r="P245" s="65">
        <f>+P243*'Reg Proy Inmob'!$C174</f>
        <v>0</v>
      </c>
      <c r="Q245" s="65">
        <f>+Q243*'Reg Proy Inmob'!$C174</f>
        <v>0</v>
      </c>
      <c r="R245" s="65">
        <f>+R243*'Reg Proy Inmob'!$C174</f>
        <v>0</v>
      </c>
      <c r="S245" s="65">
        <f>+S243*'Reg Proy Inmob'!$C174</f>
        <v>0</v>
      </c>
      <c r="T245" s="65">
        <f>+T243*'Reg Proy Inmob'!$C174</f>
        <v>0</v>
      </c>
      <c r="U245" s="65">
        <f>+U243*'Reg Proy Inmob'!$C174</f>
        <v>0</v>
      </c>
      <c r="V245" s="65">
        <f>+V243*'Reg Proy Inmob'!$C174</f>
        <v>0</v>
      </c>
      <c r="W245" s="65">
        <f>+W243*'Reg Proy Inmob'!$C174</f>
        <v>0</v>
      </c>
      <c r="X245" s="65">
        <f>+X243*'Reg Proy Inmob'!$C174</f>
        <v>0</v>
      </c>
      <c r="Y245" s="65">
        <f>+Y243*'Reg Proy Inmob'!$C174</f>
        <v>0</v>
      </c>
      <c r="Z245" s="65">
        <f>+Z243*'Reg Proy Inmob'!$C174</f>
        <v>0</v>
      </c>
      <c r="AA245" s="65">
        <f>+AA243*'Reg Proy Inmob'!$C174</f>
        <v>0</v>
      </c>
    </row>
    <row r="246" spans="2:27" s="4" customFormat="1" outlineLevel="3">
      <c r="B246" s="21" t="s">
        <v>11</v>
      </c>
      <c r="C246" s="72"/>
      <c r="D246" s="23"/>
      <c r="G246" s="65">
        <f>+G243*'Reg Proy Inmob'!$C175</f>
        <v>0</v>
      </c>
      <c r="H246" s="65">
        <f>+H243*'Reg Proy Inmob'!$C175</f>
        <v>0</v>
      </c>
      <c r="I246" s="65">
        <f>+I243*'Reg Proy Inmob'!$C175</f>
        <v>0</v>
      </c>
      <c r="J246" s="65">
        <f>+J243*'Reg Proy Inmob'!$C175</f>
        <v>0</v>
      </c>
      <c r="K246" s="65">
        <f>+K243*'Reg Proy Inmob'!$C175</f>
        <v>0</v>
      </c>
      <c r="L246" s="65">
        <f>+L243*'Reg Proy Inmob'!$C175</f>
        <v>0</v>
      </c>
      <c r="M246" s="65">
        <f>+M243*'Reg Proy Inmob'!$C175</f>
        <v>0</v>
      </c>
      <c r="N246" s="65">
        <f>+N243*'Reg Proy Inmob'!$C175</f>
        <v>0</v>
      </c>
      <c r="O246" s="65">
        <f>+O243*'Reg Proy Inmob'!$C175</f>
        <v>0</v>
      </c>
      <c r="P246" s="65">
        <f>+P243*'Reg Proy Inmob'!$C175</f>
        <v>0</v>
      </c>
      <c r="Q246" s="65">
        <f>+Q243*'Reg Proy Inmob'!$C175</f>
        <v>0</v>
      </c>
      <c r="R246" s="65">
        <f>+R243*'Reg Proy Inmob'!$C175</f>
        <v>0</v>
      </c>
      <c r="S246" s="65">
        <f>+S243*'Reg Proy Inmob'!$C175</f>
        <v>0</v>
      </c>
      <c r="T246" s="65">
        <f>+T243*'Reg Proy Inmob'!$C175</f>
        <v>0</v>
      </c>
      <c r="U246" s="65">
        <f>+U243*'Reg Proy Inmob'!$C175</f>
        <v>0</v>
      </c>
      <c r="V246" s="65">
        <f>+V243*'Reg Proy Inmob'!$C175</f>
        <v>0</v>
      </c>
      <c r="W246" s="65">
        <f>+W243*'Reg Proy Inmob'!$C175</f>
        <v>0</v>
      </c>
      <c r="X246" s="65">
        <f>+X243*'Reg Proy Inmob'!$C175</f>
        <v>0</v>
      </c>
      <c r="Y246" s="65">
        <f>+Y243*'Reg Proy Inmob'!$C175</f>
        <v>0</v>
      </c>
      <c r="Z246" s="65">
        <f>+Z243*'Reg Proy Inmob'!$C175</f>
        <v>0</v>
      </c>
      <c r="AA246" s="65">
        <f>+AA243*'Reg Proy Inmob'!$C175</f>
        <v>0</v>
      </c>
    </row>
    <row r="247" spans="2:27" s="4" customFormat="1" outlineLevel="3">
      <c r="B247" s="21" t="s">
        <v>6</v>
      </c>
      <c r="C247" s="72"/>
      <c r="G247" s="65">
        <f>+G243*'Reg Proy Inmob'!$C177</f>
        <v>0</v>
      </c>
      <c r="H247" s="65">
        <f>+H243*'Reg Proy Inmob'!$C177</f>
        <v>0</v>
      </c>
      <c r="I247" s="65">
        <f>+I243*'Reg Proy Inmob'!$C177</f>
        <v>8042.8200215353008</v>
      </c>
      <c r="J247" s="65">
        <f>+J243*'Reg Proy Inmob'!$C177</f>
        <v>17618.444735017089</v>
      </c>
      <c r="K247" s="65">
        <f>+K243*'Reg Proy Inmob'!$C177</f>
        <v>17618.444735017089</v>
      </c>
      <c r="L247" s="65">
        <f>+L243*'Reg Proy Inmob'!$C177</f>
        <v>17618.444735017089</v>
      </c>
      <c r="M247" s="65">
        <f>+M243*'Reg Proy Inmob'!$C177</f>
        <v>17618.444735017089</v>
      </c>
      <c r="N247" s="65">
        <f>+N243*'Reg Proy Inmob'!$C177</f>
        <v>17618.444735017089</v>
      </c>
      <c r="O247" s="65">
        <f>+O243*'Reg Proy Inmob'!$C177</f>
        <v>17618.444735017089</v>
      </c>
      <c r="P247" s="65">
        <f>+P243*'Reg Proy Inmob'!$C177</f>
        <v>17618.444735017089</v>
      </c>
      <c r="Q247" s="65">
        <f>+Q243*'Reg Proy Inmob'!$C177</f>
        <v>17618.444735017089</v>
      </c>
      <c r="R247" s="65">
        <f>+R243*'Reg Proy Inmob'!$C177</f>
        <v>17618.444735017089</v>
      </c>
      <c r="S247" s="65">
        <f>+S243*'Reg Proy Inmob'!$C177</f>
        <v>17618.444735017089</v>
      </c>
      <c r="T247" s="65">
        <f>+T243*'Reg Proy Inmob'!$C177</f>
        <v>17618.444735017089</v>
      </c>
      <c r="U247" s="65">
        <f>+U243*'Reg Proy Inmob'!$C177</f>
        <v>17618.444735017089</v>
      </c>
      <c r="V247" s="65">
        <f>+V243*'Reg Proy Inmob'!$C177</f>
        <v>17618.444735017089</v>
      </c>
      <c r="W247" s="65">
        <f>+W243*'Reg Proy Inmob'!$C177</f>
        <v>17618.444735017089</v>
      </c>
      <c r="X247" s="65">
        <f>+X243*'Reg Proy Inmob'!$C177</f>
        <v>17618.444735017089</v>
      </c>
      <c r="Y247" s="65">
        <f>+Y243*'Reg Proy Inmob'!$C177</f>
        <v>17618.444735017089</v>
      </c>
      <c r="Z247" s="65">
        <f>+Z243*'Reg Proy Inmob'!$C177</f>
        <v>17618.444735017089</v>
      </c>
      <c r="AA247" s="65">
        <f>+AA243*'Reg Proy Inmob'!$C177</f>
        <v>17618.444735017089</v>
      </c>
    </row>
    <row r="248" spans="2:27" s="4" customFormat="1" outlineLevel="3">
      <c r="B248" s="21" t="s">
        <v>222</v>
      </c>
      <c r="C248" s="72"/>
      <c r="D248" s="23"/>
      <c r="G248" s="65">
        <f>+G243*'Reg Proy Inmob'!$C179</f>
        <v>0</v>
      </c>
      <c r="H248" s="65">
        <f>+H243*'Reg Proy Inmob'!$C179</f>
        <v>0</v>
      </c>
      <c r="I248" s="65">
        <f>+I243*'Reg Proy Inmob'!$C179</f>
        <v>0</v>
      </c>
      <c r="J248" s="65">
        <f>+J243*'Reg Proy Inmob'!$C179</f>
        <v>0</v>
      </c>
      <c r="K248" s="65">
        <f>+K243*'Reg Proy Inmob'!$C179</f>
        <v>0</v>
      </c>
      <c r="L248" s="65">
        <f>+L243*'Reg Proy Inmob'!$C179</f>
        <v>0</v>
      </c>
      <c r="M248" s="65">
        <f>+M243*'Reg Proy Inmob'!$C179</f>
        <v>0</v>
      </c>
      <c r="N248" s="65">
        <f>+N243*'Reg Proy Inmob'!$C179</f>
        <v>0</v>
      </c>
      <c r="O248" s="65">
        <f>+O243*'Reg Proy Inmob'!$C179</f>
        <v>0</v>
      </c>
      <c r="P248" s="65">
        <f>+P243*'Reg Proy Inmob'!$C179</f>
        <v>0</v>
      </c>
      <c r="Q248" s="65">
        <f>+Q243*'Reg Proy Inmob'!$C179</f>
        <v>0</v>
      </c>
      <c r="R248" s="65">
        <f>+R243*'Reg Proy Inmob'!$C179</f>
        <v>0</v>
      </c>
      <c r="S248" s="65">
        <f>+S243*'Reg Proy Inmob'!$C179</f>
        <v>0</v>
      </c>
      <c r="T248" s="65">
        <f>+T243*'Reg Proy Inmob'!$C179</f>
        <v>0</v>
      </c>
      <c r="U248" s="65">
        <f>+U243*'Reg Proy Inmob'!$C179</f>
        <v>0</v>
      </c>
      <c r="V248" s="65">
        <f>+V243*'Reg Proy Inmob'!$C179</f>
        <v>0</v>
      </c>
      <c r="W248" s="65">
        <f>+W243*'Reg Proy Inmob'!$C179</f>
        <v>0</v>
      </c>
      <c r="X248" s="65">
        <f>+X243*'Reg Proy Inmob'!$C179</f>
        <v>0</v>
      </c>
      <c r="Y248" s="65">
        <f>+Y243*'Reg Proy Inmob'!$C179</f>
        <v>0</v>
      </c>
      <c r="Z248" s="65">
        <f>+Z243*'Reg Proy Inmob'!$C179</f>
        <v>0</v>
      </c>
      <c r="AA248" s="65">
        <f>+AA243*'Reg Proy Inmob'!$C179</f>
        <v>0</v>
      </c>
    </row>
    <row r="249" spans="2:27" s="4" customFormat="1" ht="34" outlineLevel="3">
      <c r="B249" s="25" t="s">
        <v>56</v>
      </c>
      <c r="C249" s="72"/>
      <c r="G249" s="65">
        <f>+G243*'Reg Proy Inmob'!$C176</f>
        <v>0</v>
      </c>
      <c r="H249" s="65">
        <f>+H243*'Reg Proy Inmob'!$C176</f>
        <v>0</v>
      </c>
      <c r="I249" s="65">
        <f>+I243*'Reg Proy Inmob'!$C176</f>
        <v>1574.416567961985</v>
      </c>
      <c r="J249" s="65">
        <f>+J243*'Reg Proy Inmob'!$C176</f>
        <v>3448.88623869</v>
      </c>
      <c r="K249" s="65">
        <f>+K243*'Reg Proy Inmob'!$C176</f>
        <v>3448.88623869</v>
      </c>
      <c r="L249" s="65">
        <f>+L243*'Reg Proy Inmob'!$C176</f>
        <v>3448.88623869</v>
      </c>
      <c r="M249" s="65">
        <f>+M243*'Reg Proy Inmob'!$C176</f>
        <v>3448.88623869</v>
      </c>
      <c r="N249" s="65">
        <f>+N243*'Reg Proy Inmob'!$C176</f>
        <v>3448.88623869</v>
      </c>
      <c r="O249" s="65">
        <f>+O243*'Reg Proy Inmob'!$C176</f>
        <v>3448.88623869</v>
      </c>
      <c r="P249" s="65">
        <f>+P243*'Reg Proy Inmob'!$C176</f>
        <v>3448.88623869</v>
      </c>
      <c r="Q249" s="65">
        <f>+Q243*'Reg Proy Inmob'!$C176</f>
        <v>3448.88623869</v>
      </c>
      <c r="R249" s="65">
        <f>+R243*'Reg Proy Inmob'!$C176</f>
        <v>3448.88623869</v>
      </c>
      <c r="S249" s="65">
        <f>+S243*'Reg Proy Inmob'!$C176</f>
        <v>3448.88623869</v>
      </c>
      <c r="T249" s="65">
        <f>+T243*'Reg Proy Inmob'!$C176</f>
        <v>3448.88623869</v>
      </c>
      <c r="U249" s="65">
        <f>+U243*'Reg Proy Inmob'!$C176</f>
        <v>3448.88623869</v>
      </c>
      <c r="V249" s="65">
        <f>+V243*'Reg Proy Inmob'!$C176</f>
        <v>3448.88623869</v>
      </c>
      <c r="W249" s="65">
        <f>+W243*'Reg Proy Inmob'!$C176</f>
        <v>3448.88623869</v>
      </c>
      <c r="X249" s="65">
        <f>+X243*'Reg Proy Inmob'!$C176</f>
        <v>3448.88623869</v>
      </c>
      <c r="Y249" s="65">
        <f>+Y243*'Reg Proy Inmob'!$C176</f>
        <v>3448.88623869</v>
      </c>
      <c r="Z249" s="65">
        <f>+Z243*'Reg Proy Inmob'!$C176</f>
        <v>3448.88623869</v>
      </c>
      <c r="AA249" s="65">
        <f>+AA243*'Reg Proy Inmob'!$C176</f>
        <v>3448.88623869</v>
      </c>
    </row>
    <row r="250" spans="2:27" s="4" customFormat="1" ht="17" outlineLevel="2">
      <c r="B250" s="22" t="s">
        <v>59</v>
      </c>
      <c r="C250" s="24"/>
      <c r="G250" s="65">
        <f t="shared" ref="G250:L250" si="77">+G251+G252</f>
        <v>0</v>
      </c>
      <c r="H250" s="65">
        <f t="shared" si="77"/>
        <v>0</v>
      </c>
      <c r="I250" s="65">
        <f t="shared" si="77"/>
        <v>7814.5566871624997</v>
      </c>
      <c r="J250" s="65">
        <f t="shared" si="77"/>
        <v>17118.415525</v>
      </c>
      <c r="K250" s="65">
        <f t="shared" si="77"/>
        <v>17118.415525</v>
      </c>
      <c r="L250" s="65">
        <f t="shared" si="77"/>
        <v>17118.415525</v>
      </c>
      <c r="M250" s="65">
        <f t="shared" ref="M250:AA250" si="78">+M251+M252</f>
        <v>17118.415525</v>
      </c>
      <c r="N250" s="65">
        <f t="shared" si="78"/>
        <v>17118.415525</v>
      </c>
      <c r="O250" s="65">
        <f t="shared" si="78"/>
        <v>17118.415525</v>
      </c>
      <c r="P250" s="65">
        <f t="shared" si="78"/>
        <v>17118.415525</v>
      </c>
      <c r="Q250" s="65">
        <f t="shared" si="78"/>
        <v>17118.415525</v>
      </c>
      <c r="R250" s="65">
        <f t="shared" si="78"/>
        <v>17118.415525</v>
      </c>
      <c r="S250" s="65">
        <f t="shared" si="78"/>
        <v>17118.415525</v>
      </c>
      <c r="T250" s="65">
        <f t="shared" si="78"/>
        <v>17118.415525</v>
      </c>
      <c r="U250" s="65">
        <f t="shared" si="78"/>
        <v>17118.415525</v>
      </c>
      <c r="V250" s="65">
        <f t="shared" si="78"/>
        <v>17118.415525</v>
      </c>
      <c r="W250" s="65">
        <f t="shared" si="78"/>
        <v>17118.415525</v>
      </c>
      <c r="X250" s="65">
        <f t="shared" si="78"/>
        <v>17118.415525</v>
      </c>
      <c r="Y250" s="65">
        <f t="shared" si="78"/>
        <v>17118.415525</v>
      </c>
      <c r="Z250" s="65">
        <f t="shared" si="78"/>
        <v>17118.415525</v>
      </c>
      <c r="AA250" s="65">
        <f t="shared" si="78"/>
        <v>17118.415525</v>
      </c>
    </row>
    <row r="251" spans="2:27" s="4" customFormat="1" ht="17" outlineLevel="3">
      <c r="B251" s="25" t="s">
        <v>6</v>
      </c>
      <c r="C251" s="72"/>
      <c r="G251" s="65">
        <f>+G243*'Reg Proy Inmob'!$C178</f>
        <v>0</v>
      </c>
      <c r="H251" s="65">
        <f>+H243*'Reg Proy Inmob'!$C178</f>
        <v>0</v>
      </c>
      <c r="I251" s="65">
        <f>+I243*'Reg Proy Inmob'!$C178</f>
        <v>7814.5566871624997</v>
      </c>
      <c r="J251" s="65">
        <f>+J243*'Reg Proy Inmob'!$C178</f>
        <v>17118.415525</v>
      </c>
      <c r="K251" s="65">
        <f>+K243*'Reg Proy Inmob'!$C178</f>
        <v>17118.415525</v>
      </c>
      <c r="L251" s="65">
        <f>+L243*'Reg Proy Inmob'!$C178</f>
        <v>17118.415525</v>
      </c>
      <c r="M251" s="65">
        <f>+M243*'Reg Proy Inmob'!$C178</f>
        <v>17118.415525</v>
      </c>
      <c r="N251" s="65">
        <f>+N243*'Reg Proy Inmob'!$C178</f>
        <v>17118.415525</v>
      </c>
      <c r="O251" s="65">
        <f>+O243*'Reg Proy Inmob'!$C178</f>
        <v>17118.415525</v>
      </c>
      <c r="P251" s="65">
        <f>+P243*'Reg Proy Inmob'!$C178</f>
        <v>17118.415525</v>
      </c>
      <c r="Q251" s="65">
        <f>+Q243*'Reg Proy Inmob'!$C178</f>
        <v>17118.415525</v>
      </c>
      <c r="R251" s="65">
        <f>+R243*'Reg Proy Inmob'!$C178</f>
        <v>17118.415525</v>
      </c>
      <c r="S251" s="65">
        <f>+S243*'Reg Proy Inmob'!$C178</f>
        <v>17118.415525</v>
      </c>
      <c r="T251" s="65">
        <f>+T243*'Reg Proy Inmob'!$C178</f>
        <v>17118.415525</v>
      </c>
      <c r="U251" s="65">
        <f>+U243*'Reg Proy Inmob'!$C178</f>
        <v>17118.415525</v>
      </c>
      <c r="V251" s="65">
        <f>+V243*'Reg Proy Inmob'!$C178</f>
        <v>17118.415525</v>
      </c>
      <c r="W251" s="65">
        <f>+W243*'Reg Proy Inmob'!$C178</f>
        <v>17118.415525</v>
      </c>
      <c r="X251" s="65">
        <f>+X243*'Reg Proy Inmob'!$C178</f>
        <v>17118.415525</v>
      </c>
      <c r="Y251" s="65">
        <f>+Y243*'Reg Proy Inmob'!$C178</f>
        <v>17118.415525</v>
      </c>
      <c r="Z251" s="65">
        <f>+Z243*'Reg Proy Inmob'!$C178</f>
        <v>17118.415525</v>
      </c>
      <c r="AA251" s="65">
        <f>+AA243*'Reg Proy Inmob'!$C178</f>
        <v>17118.415525</v>
      </c>
    </row>
    <row r="252" spans="2:27" s="4" customFormat="1" ht="17" outlineLevel="3">
      <c r="B252" s="25" t="s">
        <v>222</v>
      </c>
      <c r="C252" s="72"/>
      <c r="G252" s="65">
        <f>+G243*'Reg Proy Inmob'!$C180</f>
        <v>0</v>
      </c>
      <c r="H252" s="65">
        <f>+H243*'Reg Proy Inmob'!$C180</f>
        <v>0</v>
      </c>
      <c r="I252" s="65">
        <f>+I243*'Reg Proy Inmob'!$C180</f>
        <v>0</v>
      </c>
      <c r="J252" s="65">
        <f>+J243*'Reg Proy Inmob'!$C180</f>
        <v>0</v>
      </c>
      <c r="K252" s="65">
        <f>+K243*'Reg Proy Inmob'!$C180</f>
        <v>0</v>
      </c>
      <c r="L252" s="65">
        <f>+L243*'Reg Proy Inmob'!$C180</f>
        <v>0</v>
      </c>
      <c r="M252" s="65">
        <f>+M243*'Reg Proy Inmob'!$C180</f>
        <v>0</v>
      </c>
      <c r="N252" s="65">
        <f>+N243*'Reg Proy Inmob'!$C180</f>
        <v>0</v>
      </c>
      <c r="O252" s="65">
        <f>+O243*'Reg Proy Inmob'!$C180</f>
        <v>0</v>
      </c>
      <c r="P252" s="65">
        <f>+P243*'Reg Proy Inmob'!$C180</f>
        <v>0</v>
      </c>
      <c r="Q252" s="65">
        <f>+Q243*'Reg Proy Inmob'!$C180</f>
        <v>0</v>
      </c>
      <c r="R252" s="65">
        <f>+R243*'Reg Proy Inmob'!$C180</f>
        <v>0</v>
      </c>
      <c r="S252" s="65">
        <f>+S243*'Reg Proy Inmob'!$C180</f>
        <v>0</v>
      </c>
      <c r="T252" s="65">
        <f>+T243*'Reg Proy Inmob'!$C180</f>
        <v>0</v>
      </c>
      <c r="U252" s="65">
        <f>+U243*'Reg Proy Inmob'!$C180</f>
        <v>0</v>
      </c>
      <c r="V252" s="65">
        <f>+V243*'Reg Proy Inmob'!$C180</f>
        <v>0</v>
      </c>
      <c r="W252" s="65">
        <f>+W243*'Reg Proy Inmob'!$C180</f>
        <v>0</v>
      </c>
      <c r="X252" s="65">
        <f>+X243*'Reg Proy Inmob'!$C180</f>
        <v>0</v>
      </c>
      <c r="Y252" s="65">
        <f>+Y243*'Reg Proy Inmob'!$C180</f>
        <v>0</v>
      </c>
      <c r="Z252" s="65">
        <f>+Z243*'Reg Proy Inmob'!$C180</f>
        <v>0</v>
      </c>
      <c r="AA252" s="65">
        <f>+AA243*'Reg Proy Inmob'!$C180</f>
        <v>0</v>
      </c>
    </row>
    <row r="253" spans="2:27" s="4" customFormat="1" ht="17" outlineLevel="2">
      <c r="B253" s="22" t="s">
        <v>60</v>
      </c>
      <c r="C253" s="24"/>
      <c r="G253" s="65">
        <f>-G254+G255+G256+G257+G258+G259+G260+G261</f>
        <v>0</v>
      </c>
      <c r="H253" s="65">
        <f>-H254+H255+H256+H257+H258+H259+H260+H261</f>
        <v>0</v>
      </c>
      <c r="I253" s="65">
        <f t="shared" ref="I253:AA253" si="79">-I254+I255+I256+I257+I258+I259+I260+I261</f>
        <v>0</v>
      </c>
      <c r="J253" s="65">
        <f t="shared" si="79"/>
        <v>2224.4723293620882</v>
      </c>
      <c r="K253" s="65">
        <f t="shared" si="79"/>
        <v>1724.443119345</v>
      </c>
      <c r="L253" s="65">
        <f t="shared" si="79"/>
        <v>0</v>
      </c>
      <c r="M253" s="65">
        <f t="shared" si="79"/>
        <v>0</v>
      </c>
      <c r="N253" s="65">
        <f t="shared" si="79"/>
        <v>0</v>
      </c>
      <c r="O253" s="65">
        <f t="shared" si="79"/>
        <v>0</v>
      </c>
      <c r="P253" s="65">
        <f t="shared" si="79"/>
        <v>0</v>
      </c>
      <c r="Q253" s="65">
        <f t="shared" si="79"/>
        <v>0</v>
      </c>
      <c r="R253" s="65">
        <f t="shared" si="79"/>
        <v>0</v>
      </c>
      <c r="S253" s="65">
        <f t="shared" si="79"/>
        <v>0</v>
      </c>
      <c r="T253" s="65">
        <f t="shared" si="79"/>
        <v>0</v>
      </c>
      <c r="U253" s="65">
        <f t="shared" si="79"/>
        <v>0</v>
      </c>
      <c r="V253" s="65">
        <f t="shared" si="79"/>
        <v>0</v>
      </c>
      <c r="W253" s="65">
        <f t="shared" si="79"/>
        <v>0</v>
      </c>
      <c r="X253" s="65">
        <f t="shared" si="79"/>
        <v>0</v>
      </c>
      <c r="Y253" s="65">
        <f t="shared" si="79"/>
        <v>0</v>
      </c>
      <c r="Z253" s="65">
        <f t="shared" si="79"/>
        <v>0</v>
      </c>
      <c r="AA253" s="65">
        <f t="shared" si="79"/>
        <v>0</v>
      </c>
    </row>
    <row r="254" spans="2:27" outlineLevel="3">
      <c r="B254" s="21" t="s">
        <v>51</v>
      </c>
      <c r="C254" s="20"/>
      <c r="G254" s="67"/>
      <c r="H254" s="67"/>
      <c r="I254" s="67"/>
      <c r="J254" s="67"/>
      <c r="K254" s="67"/>
      <c r="L254" s="67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38"/>
    </row>
    <row r="255" spans="2:27" outlineLevel="3">
      <c r="B255" s="21" t="s">
        <v>52</v>
      </c>
      <c r="C255" s="20"/>
      <c r="G255" s="67"/>
      <c r="H255" s="67"/>
      <c r="I255" s="67"/>
      <c r="J255" s="67"/>
      <c r="K255" s="67"/>
      <c r="L255" s="67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38"/>
    </row>
    <row r="256" spans="2:27" ht="51" outlineLevel="3">
      <c r="B256" s="25" t="s">
        <v>54</v>
      </c>
      <c r="C256" s="20"/>
      <c r="G256" s="67"/>
      <c r="H256" s="67"/>
      <c r="I256" s="67"/>
      <c r="J256" s="67"/>
      <c r="K256" s="67"/>
      <c r="L256" s="67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38"/>
    </row>
    <row r="257" spans="2:27" s="4" customFormat="1" ht="17" outlineLevel="3">
      <c r="B257" s="25" t="s">
        <v>61</v>
      </c>
      <c r="C257" s="24"/>
      <c r="G257" s="67"/>
      <c r="H257" s="67"/>
      <c r="I257" s="67"/>
      <c r="J257" s="67"/>
      <c r="K257" s="67"/>
      <c r="L257" s="67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57"/>
    </row>
    <row r="258" spans="2:27" s="4" customFormat="1" ht="17" outlineLevel="3">
      <c r="B258" s="25" t="s">
        <v>62</v>
      </c>
      <c r="C258" s="24"/>
      <c r="G258" s="67"/>
      <c r="H258" s="67"/>
      <c r="I258" s="67"/>
      <c r="J258" s="67"/>
      <c r="K258" s="67"/>
      <c r="L258" s="67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57"/>
    </row>
    <row r="259" spans="2:27" s="4" customFormat="1" ht="17" outlineLevel="3">
      <c r="B259" s="25" t="s">
        <v>63</v>
      </c>
      <c r="C259" s="24"/>
      <c r="G259" s="67"/>
      <c r="H259" s="67"/>
      <c r="I259" s="67"/>
      <c r="J259" s="67"/>
      <c r="K259" s="67"/>
      <c r="L259" s="67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57"/>
    </row>
    <row r="260" spans="2:27" s="4" customFormat="1" ht="17" outlineLevel="3">
      <c r="B260" s="25" t="s">
        <v>64</v>
      </c>
      <c r="C260" s="24"/>
      <c r="G260" s="67"/>
      <c r="H260" s="67"/>
      <c r="I260" s="67"/>
      <c r="J260" s="67">
        <f>+J247-J251</f>
        <v>500.02921001708819</v>
      </c>
      <c r="K260" s="67"/>
      <c r="L260" s="67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57"/>
    </row>
    <row r="261" spans="2:27" s="4" customFormat="1" ht="34" outlineLevel="3">
      <c r="B261" s="25" t="s">
        <v>65</v>
      </c>
      <c r="C261" s="24"/>
      <c r="G261" s="67"/>
      <c r="H261" s="67"/>
      <c r="I261" s="67"/>
      <c r="J261" s="67">
        <f>+J249/2</f>
        <v>1724.443119345</v>
      </c>
      <c r="K261" s="67">
        <f>+J261</f>
        <v>1724.443119345</v>
      </c>
      <c r="L261" s="67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57"/>
    </row>
    <row r="262" spans="2:27" s="4" customFormat="1" outlineLevel="2">
      <c r="B262" s="25"/>
      <c r="C262" s="24"/>
    </row>
    <row r="263" spans="2:27" outlineLevel="1">
      <c r="B263" s="18" t="s">
        <v>240</v>
      </c>
      <c r="C263" s="20"/>
      <c r="D263" t="s">
        <v>352</v>
      </c>
    </row>
    <row r="264" spans="2:27" outlineLevel="2">
      <c r="B264" s="19" t="s">
        <v>220</v>
      </c>
      <c r="C264" s="20"/>
      <c r="N264">
        <f>2228/248</f>
        <v>8.9838709677419359</v>
      </c>
    </row>
    <row r="265" spans="2:27" ht="34" outlineLevel="3">
      <c r="B265" s="25" t="s">
        <v>58</v>
      </c>
      <c r="C265" s="20"/>
      <c r="F265" s="60"/>
      <c r="G265" s="60">
        <f>12+3*4</f>
        <v>24</v>
      </c>
      <c r="H265" s="60">
        <f>24+38</f>
        <v>62</v>
      </c>
      <c r="I265" s="60">
        <f>+H265</f>
        <v>62</v>
      </c>
      <c r="J265" s="60">
        <v>62</v>
      </c>
      <c r="K265" s="60">
        <v>62</v>
      </c>
      <c r="L265" s="60">
        <v>62</v>
      </c>
      <c r="M265" s="60">
        <v>62</v>
      </c>
      <c r="N265" s="60">
        <v>62</v>
      </c>
      <c r="O265" s="60">
        <v>62</v>
      </c>
      <c r="P265" s="60">
        <v>62</v>
      </c>
      <c r="Q265" s="60">
        <v>62</v>
      </c>
      <c r="R265" s="60">
        <v>62</v>
      </c>
      <c r="S265" s="60">
        <v>62</v>
      </c>
      <c r="T265" s="60">
        <v>62</v>
      </c>
      <c r="U265" s="60">
        <v>62</v>
      </c>
      <c r="V265" s="60">
        <v>62</v>
      </c>
      <c r="W265" s="60">
        <v>62</v>
      </c>
      <c r="X265" s="60">
        <v>62</v>
      </c>
      <c r="Y265" s="60">
        <v>62</v>
      </c>
      <c r="Z265" s="60">
        <v>62</v>
      </c>
      <c r="AA265" s="60">
        <v>62</v>
      </c>
    </row>
    <row r="266" spans="2:27" ht="17" outlineLevel="3">
      <c r="B266" s="25" t="s">
        <v>66</v>
      </c>
      <c r="C266" s="20"/>
      <c r="F266" s="69"/>
      <c r="G266" s="66">
        <f>+G265*H267</f>
        <v>9963.8709677419356</v>
      </c>
      <c r="H266" s="66">
        <f>+H265*I267</f>
        <v>25740</v>
      </c>
      <c r="I266" s="66">
        <f>+I265*J267</f>
        <v>25740</v>
      </c>
      <c r="J266" s="66">
        <f>+J265*K267</f>
        <v>25740</v>
      </c>
      <c r="K266" s="66">
        <f>+K265*L267</f>
        <v>25740</v>
      </c>
      <c r="L266" s="66">
        <v>25740</v>
      </c>
      <c r="M266" s="66">
        <v>25740</v>
      </c>
      <c r="N266" s="66">
        <v>25740</v>
      </c>
      <c r="O266" s="66">
        <v>25740</v>
      </c>
      <c r="P266" s="66">
        <v>25740</v>
      </c>
      <c r="Q266" s="66">
        <v>25740</v>
      </c>
      <c r="R266" s="66">
        <v>25740</v>
      </c>
      <c r="S266" s="66">
        <v>25740</v>
      </c>
      <c r="T266" s="66">
        <v>25740</v>
      </c>
      <c r="U266" s="66">
        <v>25740</v>
      </c>
      <c r="V266" s="66">
        <v>25740</v>
      </c>
      <c r="W266" s="66">
        <v>25740</v>
      </c>
      <c r="X266" s="66">
        <v>25740</v>
      </c>
      <c r="Y266" s="66">
        <v>25740</v>
      </c>
      <c r="Z266" s="66">
        <v>25740</v>
      </c>
      <c r="AA266" s="66">
        <v>25740</v>
      </c>
    </row>
    <row r="267" spans="2:27" ht="17" outlineLevel="3">
      <c r="B267" s="25" t="s">
        <v>67</v>
      </c>
      <c r="C267" s="20"/>
      <c r="F267" s="73">
        <f t="shared" ref="F267:L267" si="80">+IF(ISERROR(F266/F265),0,F266/F265)</f>
        <v>0</v>
      </c>
      <c r="G267" s="73">
        <f t="shared" si="80"/>
        <v>415.16129032258067</v>
      </c>
      <c r="H267" s="73">
        <f t="shared" si="80"/>
        <v>415.16129032258067</v>
      </c>
      <c r="I267" s="73">
        <f t="shared" si="80"/>
        <v>415.16129032258067</v>
      </c>
      <c r="J267" s="73">
        <f t="shared" si="80"/>
        <v>415.16129032258067</v>
      </c>
      <c r="K267" s="73">
        <f t="shared" si="80"/>
        <v>415.16129032258067</v>
      </c>
      <c r="L267">
        <f t="shared" si="80"/>
        <v>415.16129032258067</v>
      </c>
      <c r="M267">
        <f t="shared" ref="M267:AA267" si="81">+IF(ISERROR(M266/M265),0,M266/M265)</f>
        <v>415.16129032258067</v>
      </c>
      <c r="N267">
        <f t="shared" si="81"/>
        <v>415.16129032258067</v>
      </c>
      <c r="O267">
        <f t="shared" si="81"/>
        <v>415.16129032258067</v>
      </c>
      <c r="P267">
        <f t="shared" si="81"/>
        <v>415.16129032258067</v>
      </c>
      <c r="Q267">
        <f t="shared" si="81"/>
        <v>415.16129032258067</v>
      </c>
      <c r="R267">
        <f t="shared" si="81"/>
        <v>415.16129032258067</v>
      </c>
      <c r="S267">
        <f t="shared" si="81"/>
        <v>415.16129032258067</v>
      </c>
      <c r="T267">
        <f t="shared" si="81"/>
        <v>415.16129032258067</v>
      </c>
      <c r="U267">
        <f t="shared" si="81"/>
        <v>415.16129032258067</v>
      </c>
      <c r="V267">
        <f t="shared" si="81"/>
        <v>415.16129032258067</v>
      </c>
      <c r="W267">
        <f t="shared" si="81"/>
        <v>415.16129032258067</v>
      </c>
      <c r="X267">
        <f t="shared" si="81"/>
        <v>415.16129032258067</v>
      </c>
      <c r="Y267">
        <f t="shared" si="81"/>
        <v>415.16129032258067</v>
      </c>
      <c r="Z267">
        <f t="shared" si="81"/>
        <v>415.16129032258067</v>
      </c>
      <c r="AA267">
        <f t="shared" si="81"/>
        <v>415.16129032258067</v>
      </c>
    </row>
    <row r="268" spans="2:27" ht="17" outlineLevel="2">
      <c r="B268" s="22" t="s">
        <v>216</v>
      </c>
      <c r="C268" s="20"/>
      <c r="G268" s="26"/>
      <c r="H268" s="26"/>
    </row>
    <row r="269" spans="2:27" ht="34" outlineLevel="3">
      <c r="B269" s="25" t="s">
        <v>217</v>
      </c>
      <c r="C269" s="20"/>
      <c r="G269" s="69"/>
      <c r="H269" s="69"/>
      <c r="I269" s="66"/>
      <c r="J269" s="66">
        <v>62</v>
      </c>
      <c r="K269" s="66">
        <f>+J269</f>
        <v>62</v>
      </c>
      <c r="L269" s="66">
        <f>+K269</f>
        <v>62</v>
      </c>
      <c r="M269" s="66">
        <f t="shared" ref="M269:AA269" si="82">+L269</f>
        <v>62</v>
      </c>
      <c r="N269" s="66">
        <f t="shared" si="82"/>
        <v>62</v>
      </c>
      <c r="O269" s="66">
        <f t="shared" si="82"/>
        <v>62</v>
      </c>
      <c r="P269" s="66">
        <f t="shared" si="82"/>
        <v>62</v>
      </c>
      <c r="Q269" s="66">
        <f t="shared" si="82"/>
        <v>62</v>
      </c>
      <c r="R269" s="66">
        <f t="shared" si="82"/>
        <v>62</v>
      </c>
      <c r="S269" s="66">
        <f t="shared" si="82"/>
        <v>62</v>
      </c>
      <c r="T269" s="66">
        <f t="shared" si="82"/>
        <v>62</v>
      </c>
      <c r="U269" s="66">
        <f t="shared" si="82"/>
        <v>62</v>
      </c>
      <c r="V269" s="66">
        <f t="shared" si="82"/>
        <v>62</v>
      </c>
      <c r="W269" s="66">
        <f t="shared" si="82"/>
        <v>62</v>
      </c>
      <c r="X269" s="66">
        <f t="shared" si="82"/>
        <v>62</v>
      </c>
      <c r="Y269" s="66">
        <f t="shared" si="82"/>
        <v>62</v>
      </c>
      <c r="Z269" s="66">
        <f t="shared" si="82"/>
        <v>62</v>
      </c>
      <c r="AA269" s="66">
        <f t="shared" si="82"/>
        <v>62</v>
      </c>
    </row>
    <row r="270" spans="2:27" ht="34" outlineLevel="3">
      <c r="B270" s="25" t="s">
        <v>218</v>
      </c>
      <c r="C270" s="20"/>
      <c r="G270" s="69"/>
      <c r="H270" s="69"/>
      <c r="I270" s="66"/>
      <c r="J270" s="66">
        <f>+J266</f>
        <v>25740</v>
      </c>
      <c r="K270" s="66">
        <f>+J270</f>
        <v>25740</v>
      </c>
      <c r="L270" s="66">
        <f>+K270</f>
        <v>25740</v>
      </c>
      <c r="M270" s="66">
        <f t="shared" ref="M270:AA270" si="83">+L270</f>
        <v>25740</v>
      </c>
      <c r="N270" s="66">
        <f t="shared" si="83"/>
        <v>25740</v>
      </c>
      <c r="O270" s="66">
        <f t="shared" si="83"/>
        <v>25740</v>
      </c>
      <c r="P270" s="66">
        <f t="shared" si="83"/>
        <v>25740</v>
      </c>
      <c r="Q270" s="66">
        <f t="shared" si="83"/>
        <v>25740</v>
      </c>
      <c r="R270" s="66">
        <f t="shared" si="83"/>
        <v>25740</v>
      </c>
      <c r="S270" s="66">
        <f t="shared" si="83"/>
        <v>25740</v>
      </c>
      <c r="T270" s="66">
        <f t="shared" si="83"/>
        <v>25740</v>
      </c>
      <c r="U270" s="66">
        <f t="shared" si="83"/>
        <v>25740</v>
      </c>
      <c r="V270" s="66">
        <f t="shared" si="83"/>
        <v>25740</v>
      </c>
      <c r="W270" s="66">
        <f t="shared" si="83"/>
        <v>25740</v>
      </c>
      <c r="X270" s="66">
        <f t="shared" si="83"/>
        <v>25740</v>
      </c>
      <c r="Y270" s="66">
        <f t="shared" si="83"/>
        <v>25740</v>
      </c>
      <c r="Z270" s="66">
        <f t="shared" si="83"/>
        <v>25740</v>
      </c>
      <c r="AA270" s="66">
        <f t="shared" si="83"/>
        <v>25740</v>
      </c>
    </row>
    <row r="271" spans="2:27" ht="17" outlineLevel="3">
      <c r="B271" s="25" t="s">
        <v>219</v>
      </c>
      <c r="C271" s="20"/>
      <c r="G271" s="26">
        <f t="shared" ref="G271:L271" si="84">+IF(ISERROR(G270/G269),0,G270/G269)</f>
        <v>0</v>
      </c>
      <c r="H271" s="26">
        <f t="shared" si="84"/>
        <v>0</v>
      </c>
      <c r="I271" s="26">
        <f t="shared" si="84"/>
        <v>0</v>
      </c>
      <c r="J271" s="26">
        <f t="shared" si="84"/>
        <v>415.16129032258067</v>
      </c>
      <c r="K271" s="26">
        <f t="shared" si="84"/>
        <v>415.16129032258067</v>
      </c>
      <c r="L271" s="26">
        <f t="shared" si="84"/>
        <v>415.16129032258067</v>
      </c>
      <c r="M271" s="26">
        <f t="shared" ref="M271:AA271" si="85">+IF(ISERROR(M270/M269),0,M270/M269)</f>
        <v>415.16129032258067</v>
      </c>
      <c r="N271" s="26">
        <f t="shared" si="85"/>
        <v>415.16129032258067</v>
      </c>
      <c r="O271" s="26">
        <f t="shared" si="85"/>
        <v>415.16129032258067</v>
      </c>
      <c r="P271" s="26">
        <f t="shared" si="85"/>
        <v>415.16129032258067</v>
      </c>
      <c r="Q271" s="26">
        <f t="shared" si="85"/>
        <v>415.16129032258067</v>
      </c>
      <c r="R271" s="26">
        <f t="shared" si="85"/>
        <v>415.16129032258067</v>
      </c>
      <c r="S271" s="26">
        <f t="shared" si="85"/>
        <v>415.16129032258067</v>
      </c>
      <c r="T271" s="26">
        <f t="shared" si="85"/>
        <v>415.16129032258067</v>
      </c>
      <c r="U271" s="26">
        <f t="shared" si="85"/>
        <v>415.16129032258067</v>
      </c>
      <c r="V271" s="26">
        <f t="shared" si="85"/>
        <v>415.16129032258067</v>
      </c>
      <c r="W271" s="26">
        <f t="shared" si="85"/>
        <v>415.16129032258067</v>
      </c>
      <c r="X271" s="26">
        <f t="shared" si="85"/>
        <v>415.16129032258067</v>
      </c>
      <c r="Y271" s="26">
        <f t="shared" si="85"/>
        <v>415.16129032258067</v>
      </c>
      <c r="Z271" s="26">
        <f t="shared" si="85"/>
        <v>415.16129032258067</v>
      </c>
      <c r="AA271" s="26">
        <f t="shared" si="85"/>
        <v>415.16129032258067</v>
      </c>
    </row>
    <row r="272" spans="2:27" ht="17" outlineLevel="2">
      <c r="B272" s="22" t="s">
        <v>68</v>
      </c>
      <c r="C272" s="20"/>
    </row>
    <row r="273" spans="2:27" ht="34" outlineLevel="2">
      <c r="B273" s="22" t="s">
        <v>221</v>
      </c>
      <c r="C273" s="20" t="s">
        <v>53</v>
      </c>
      <c r="D273" s="1">
        <v>0.11</v>
      </c>
      <c r="F273">
        <v>0</v>
      </c>
      <c r="G273" s="60"/>
      <c r="H273" s="60"/>
      <c r="I273" s="60"/>
      <c r="J273" s="60"/>
      <c r="K273" s="60"/>
      <c r="L273" s="60"/>
    </row>
    <row r="274" spans="2:27" outlineLevel="2">
      <c r="B274" s="19" t="s">
        <v>55</v>
      </c>
      <c r="C274" s="20"/>
      <c r="F274" s="70"/>
      <c r="G274" s="70"/>
      <c r="H274" s="70">
        <v>0.3</v>
      </c>
      <c r="I274" s="70">
        <v>1</v>
      </c>
      <c r="J274" s="70">
        <v>1</v>
      </c>
      <c r="K274" s="70">
        <v>1</v>
      </c>
      <c r="L274" s="70">
        <v>1</v>
      </c>
      <c r="M274" s="70">
        <v>1</v>
      </c>
      <c r="N274" s="70">
        <v>1</v>
      </c>
      <c r="O274" s="70">
        <v>1</v>
      </c>
      <c r="P274" s="70">
        <v>1</v>
      </c>
      <c r="Q274" s="70">
        <v>1</v>
      </c>
      <c r="R274" s="70">
        <v>1</v>
      </c>
      <c r="S274" s="70">
        <v>1</v>
      </c>
      <c r="T274" s="70">
        <v>1</v>
      </c>
      <c r="U274" s="70">
        <v>1</v>
      </c>
      <c r="V274" s="70">
        <v>1</v>
      </c>
      <c r="W274" s="70">
        <v>1</v>
      </c>
      <c r="X274" s="70">
        <v>1</v>
      </c>
      <c r="Y274" s="70">
        <v>1</v>
      </c>
      <c r="Z274" s="70">
        <v>1</v>
      </c>
      <c r="AA274" s="70">
        <v>1</v>
      </c>
    </row>
    <row r="275" spans="2:27" outlineLevel="2">
      <c r="B275" s="19" t="s">
        <v>224</v>
      </c>
      <c r="C275" s="20"/>
      <c r="F275" s="13"/>
      <c r="G275" s="64">
        <f t="shared" ref="G275:L275" si="86">+G274*G266</f>
        <v>0</v>
      </c>
      <c r="H275" s="64">
        <f t="shared" si="86"/>
        <v>7722</v>
      </c>
      <c r="I275" s="64">
        <f t="shared" si="86"/>
        <v>25740</v>
      </c>
      <c r="J275" s="64">
        <f t="shared" si="86"/>
        <v>25740</v>
      </c>
      <c r="K275" s="64">
        <f t="shared" si="86"/>
        <v>25740</v>
      </c>
      <c r="L275" s="64">
        <f t="shared" si="86"/>
        <v>25740</v>
      </c>
      <c r="M275" s="64">
        <f t="shared" ref="M275:AA275" si="87">+M274*M266</f>
        <v>25740</v>
      </c>
      <c r="N275" s="64">
        <f t="shared" si="87"/>
        <v>25740</v>
      </c>
      <c r="O275" s="64">
        <f t="shared" si="87"/>
        <v>25740</v>
      </c>
      <c r="P275" s="64">
        <f t="shared" si="87"/>
        <v>25740</v>
      </c>
      <c r="Q275" s="64">
        <f t="shared" si="87"/>
        <v>25740</v>
      </c>
      <c r="R275" s="64">
        <f t="shared" si="87"/>
        <v>25740</v>
      </c>
      <c r="S275" s="64">
        <f t="shared" si="87"/>
        <v>25740</v>
      </c>
      <c r="T275" s="64">
        <f t="shared" si="87"/>
        <v>25740</v>
      </c>
      <c r="U275" s="64">
        <f t="shared" si="87"/>
        <v>25740</v>
      </c>
      <c r="V275" s="64">
        <f t="shared" si="87"/>
        <v>25740</v>
      </c>
      <c r="W275" s="64">
        <f t="shared" si="87"/>
        <v>25740</v>
      </c>
      <c r="X275" s="64">
        <f t="shared" si="87"/>
        <v>25740</v>
      </c>
      <c r="Y275" s="64">
        <f t="shared" si="87"/>
        <v>25740</v>
      </c>
      <c r="Z275" s="64">
        <f t="shared" si="87"/>
        <v>25740</v>
      </c>
      <c r="AA275" s="64">
        <f t="shared" si="87"/>
        <v>25740</v>
      </c>
    </row>
    <row r="276" spans="2:27" outlineLevel="2">
      <c r="B276" s="19" t="s">
        <v>225</v>
      </c>
      <c r="C276" s="20"/>
      <c r="G276" s="65">
        <f t="shared" ref="G276:L276" si="88">+G277+G278+G279+G280+G281</f>
        <v>0</v>
      </c>
      <c r="H276" s="65">
        <f t="shared" si="88"/>
        <v>3876.6702545999997</v>
      </c>
      <c r="I276" s="65">
        <f t="shared" si="88"/>
        <v>12922.234182</v>
      </c>
      <c r="J276" s="65">
        <f t="shared" si="88"/>
        <v>12922.234182</v>
      </c>
      <c r="K276" s="65">
        <f t="shared" si="88"/>
        <v>12922.234182</v>
      </c>
      <c r="L276" s="65">
        <f t="shared" si="88"/>
        <v>12922.234182</v>
      </c>
      <c r="M276" s="65">
        <f t="shared" ref="M276:AA276" si="89">+M277+M278+M279+M280+M281</f>
        <v>12922.234182</v>
      </c>
      <c r="N276" s="65">
        <f t="shared" si="89"/>
        <v>12922.234182</v>
      </c>
      <c r="O276" s="65">
        <f t="shared" si="89"/>
        <v>12922.234182</v>
      </c>
      <c r="P276" s="65">
        <f t="shared" si="89"/>
        <v>12922.234182</v>
      </c>
      <c r="Q276" s="65">
        <f t="shared" si="89"/>
        <v>12922.234182</v>
      </c>
      <c r="R276" s="65">
        <f t="shared" si="89"/>
        <v>12922.234182</v>
      </c>
      <c r="S276" s="65">
        <f t="shared" si="89"/>
        <v>12922.234182</v>
      </c>
      <c r="T276" s="65">
        <f t="shared" si="89"/>
        <v>12922.234182</v>
      </c>
      <c r="U276" s="65">
        <f t="shared" si="89"/>
        <v>12922.234182</v>
      </c>
      <c r="V276" s="65">
        <f t="shared" si="89"/>
        <v>12922.234182</v>
      </c>
      <c r="W276" s="65">
        <f t="shared" si="89"/>
        <v>12922.234182</v>
      </c>
      <c r="X276" s="65">
        <f t="shared" si="89"/>
        <v>12922.234182</v>
      </c>
      <c r="Y276" s="65">
        <f t="shared" si="89"/>
        <v>12922.234182</v>
      </c>
      <c r="Z276" s="65">
        <f t="shared" si="89"/>
        <v>12922.234182</v>
      </c>
      <c r="AA276" s="65">
        <f t="shared" si="89"/>
        <v>12922.234182</v>
      </c>
    </row>
    <row r="277" spans="2:27" s="4" customFormat="1" outlineLevel="3">
      <c r="B277" s="21" t="s">
        <v>7</v>
      </c>
      <c r="C277" s="21"/>
      <c r="D277" s="23"/>
      <c r="G277" s="65">
        <f>+G275*'Reg Proy Inmob'!$C199</f>
        <v>0</v>
      </c>
      <c r="H277" s="65">
        <f>+H275*'Reg Proy Inmob'!$C199</f>
        <v>22.386078000000001</v>
      </c>
      <c r="I277" s="65">
        <f>+I275*'Reg Proy Inmob'!$C199</f>
        <v>74.620260000000002</v>
      </c>
      <c r="J277" s="65">
        <f>+J275*'Reg Proy Inmob'!$C199</f>
        <v>74.620260000000002</v>
      </c>
      <c r="K277" s="65">
        <f>+K275*'Reg Proy Inmob'!$C199</f>
        <v>74.620260000000002</v>
      </c>
      <c r="L277" s="65">
        <f>+L275*'Reg Proy Inmob'!$C199</f>
        <v>74.620260000000002</v>
      </c>
      <c r="M277" s="65">
        <f>+M275*'Reg Proy Inmob'!$C199</f>
        <v>74.620260000000002</v>
      </c>
      <c r="N277" s="65">
        <f>+N275*'Reg Proy Inmob'!$C199</f>
        <v>74.620260000000002</v>
      </c>
      <c r="O277" s="65">
        <f>+O275*'Reg Proy Inmob'!$C199</f>
        <v>74.620260000000002</v>
      </c>
      <c r="P277" s="65">
        <f>+P275*'Reg Proy Inmob'!$C199</f>
        <v>74.620260000000002</v>
      </c>
      <c r="Q277" s="65">
        <f>+Q275*'Reg Proy Inmob'!$C199</f>
        <v>74.620260000000002</v>
      </c>
      <c r="R277" s="65">
        <f>+R275*'Reg Proy Inmob'!$C199</f>
        <v>74.620260000000002</v>
      </c>
      <c r="S277" s="65">
        <f>+S275*'Reg Proy Inmob'!$C199</f>
        <v>74.620260000000002</v>
      </c>
      <c r="T277" s="65">
        <f>+T275*'Reg Proy Inmob'!$C199</f>
        <v>74.620260000000002</v>
      </c>
      <c r="U277" s="65">
        <f>+U275*'Reg Proy Inmob'!$C199</f>
        <v>74.620260000000002</v>
      </c>
      <c r="V277" s="65">
        <f>+V275*'Reg Proy Inmob'!$C199</f>
        <v>74.620260000000002</v>
      </c>
      <c r="W277" s="65">
        <f>+W275*'Reg Proy Inmob'!$C199</f>
        <v>74.620260000000002</v>
      </c>
      <c r="X277" s="65">
        <f>+X275*'Reg Proy Inmob'!$C199</f>
        <v>74.620260000000002</v>
      </c>
      <c r="Y277" s="65">
        <f>+Y275*'Reg Proy Inmob'!$C199</f>
        <v>74.620260000000002</v>
      </c>
      <c r="Z277" s="65">
        <f>+Z275*'Reg Proy Inmob'!$C199</f>
        <v>74.620260000000002</v>
      </c>
      <c r="AA277" s="65">
        <f>+AA275*'Reg Proy Inmob'!$C199</f>
        <v>74.620260000000002</v>
      </c>
    </row>
    <row r="278" spans="2:27" s="4" customFormat="1" outlineLevel="3">
      <c r="B278" s="21" t="s">
        <v>11</v>
      </c>
      <c r="C278" s="72"/>
      <c r="D278" s="23"/>
      <c r="G278" s="65">
        <f>+G275*'Reg Proy Inmob'!$C200</f>
        <v>0</v>
      </c>
      <c r="H278" s="65">
        <f>+H275*'Reg Proy Inmob'!$C200</f>
        <v>8.9544312000000001</v>
      </c>
      <c r="I278" s="65">
        <f>+I275*'Reg Proy Inmob'!$C200</f>
        <v>29.848103999999999</v>
      </c>
      <c r="J278" s="65">
        <f>+J275*'Reg Proy Inmob'!$C200</f>
        <v>29.848103999999999</v>
      </c>
      <c r="K278" s="65">
        <f>+K275*'Reg Proy Inmob'!$C200</f>
        <v>29.848103999999999</v>
      </c>
      <c r="L278" s="65">
        <f>+L275*'Reg Proy Inmob'!$C200</f>
        <v>29.848103999999999</v>
      </c>
      <c r="M278" s="65">
        <f>+M275*'Reg Proy Inmob'!$C200</f>
        <v>29.848103999999999</v>
      </c>
      <c r="N278" s="65">
        <f>+N275*'Reg Proy Inmob'!$C200</f>
        <v>29.848103999999999</v>
      </c>
      <c r="O278" s="65">
        <f>+O275*'Reg Proy Inmob'!$C200</f>
        <v>29.848103999999999</v>
      </c>
      <c r="P278" s="65">
        <f>+P275*'Reg Proy Inmob'!$C200</f>
        <v>29.848103999999999</v>
      </c>
      <c r="Q278" s="65">
        <f>+Q275*'Reg Proy Inmob'!$C200</f>
        <v>29.848103999999999</v>
      </c>
      <c r="R278" s="65">
        <f>+R275*'Reg Proy Inmob'!$C200</f>
        <v>29.848103999999999</v>
      </c>
      <c r="S278" s="65">
        <f>+S275*'Reg Proy Inmob'!$C200</f>
        <v>29.848103999999999</v>
      </c>
      <c r="T278" s="65">
        <f>+T275*'Reg Proy Inmob'!$C200</f>
        <v>29.848103999999999</v>
      </c>
      <c r="U278" s="65">
        <f>+U275*'Reg Proy Inmob'!$C200</f>
        <v>29.848103999999999</v>
      </c>
      <c r="V278" s="65">
        <f>+V275*'Reg Proy Inmob'!$C200</f>
        <v>29.848103999999999</v>
      </c>
      <c r="W278" s="65">
        <f>+W275*'Reg Proy Inmob'!$C200</f>
        <v>29.848103999999999</v>
      </c>
      <c r="X278" s="65">
        <f>+X275*'Reg Proy Inmob'!$C200</f>
        <v>29.848103999999999</v>
      </c>
      <c r="Y278" s="65">
        <f>+Y275*'Reg Proy Inmob'!$C200</f>
        <v>29.848103999999999</v>
      </c>
      <c r="Z278" s="65">
        <f>+Z275*'Reg Proy Inmob'!$C200</f>
        <v>29.848103999999999</v>
      </c>
      <c r="AA278" s="65">
        <f>+AA275*'Reg Proy Inmob'!$C200</f>
        <v>29.848103999999999</v>
      </c>
    </row>
    <row r="279" spans="2:27" s="4" customFormat="1" outlineLevel="3">
      <c r="B279" s="21" t="s">
        <v>6</v>
      </c>
      <c r="C279" s="72"/>
      <c r="G279" s="65">
        <f>+G275*'Reg Proy Inmob'!$C202</f>
        <v>0</v>
      </c>
      <c r="H279" s="65">
        <f>+H275*'Reg Proy Inmob'!$C202</f>
        <v>2395.3103459999998</v>
      </c>
      <c r="I279" s="65">
        <f>+I275*'Reg Proy Inmob'!$C202</f>
        <v>7984.3678199999995</v>
      </c>
      <c r="J279" s="65">
        <f>+J275*'Reg Proy Inmob'!$C202</f>
        <v>7984.3678199999995</v>
      </c>
      <c r="K279" s="65">
        <f>+K275*'Reg Proy Inmob'!$C202</f>
        <v>7984.3678199999995</v>
      </c>
      <c r="L279" s="65">
        <f>+L275*'Reg Proy Inmob'!$C202</f>
        <v>7984.3678199999995</v>
      </c>
      <c r="M279" s="65">
        <f>+M275*'Reg Proy Inmob'!$C202</f>
        <v>7984.3678199999995</v>
      </c>
      <c r="N279" s="65">
        <f>+N275*'Reg Proy Inmob'!$C202</f>
        <v>7984.3678199999995</v>
      </c>
      <c r="O279" s="65">
        <f>+O275*'Reg Proy Inmob'!$C202</f>
        <v>7984.3678199999995</v>
      </c>
      <c r="P279" s="65">
        <f>+P275*'Reg Proy Inmob'!$C202</f>
        <v>7984.3678199999995</v>
      </c>
      <c r="Q279" s="65">
        <f>+Q275*'Reg Proy Inmob'!$C202</f>
        <v>7984.3678199999995</v>
      </c>
      <c r="R279" s="65">
        <f>+R275*'Reg Proy Inmob'!$C202</f>
        <v>7984.3678199999995</v>
      </c>
      <c r="S279" s="65">
        <f>+S275*'Reg Proy Inmob'!$C202</f>
        <v>7984.3678199999995</v>
      </c>
      <c r="T279" s="65">
        <f>+T275*'Reg Proy Inmob'!$C202</f>
        <v>7984.3678199999995</v>
      </c>
      <c r="U279" s="65">
        <f>+U275*'Reg Proy Inmob'!$C202</f>
        <v>7984.3678199999995</v>
      </c>
      <c r="V279" s="65">
        <f>+V275*'Reg Proy Inmob'!$C202</f>
        <v>7984.3678199999995</v>
      </c>
      <c r="W279" s="65">
        <f>+W275*'Reg Proy Inmob'!$C202</f>
        <v>7984.3678199999995</v>
      </c>
      <c r="X279" s="65">
        <f>+X275*'Reg Proy Inmob'!$C202</f>
        <v>7984.3678199999995</v>
      </c>
      <c r="Y279" s="65">
        <f>+Y275*'Reg Proy Inmob'!$C202</f>
        <v>7984.3678199999995</v>
      </c>
      <c r="Z279" s="65">
        <f>+Z275*'Reg Proy Inmob'!$C202</f>
        <v>7984.3678199999995</v>
      </c>
      <c r="AA279" s="65">
        <f>+AA275*'Reg Proy Inmob'!$C202</f>
        <v>7984.3678199999995</v>
      </c>
    </row>
    <row r="280" spans="2:27" s="4" customFormat="1" outlineLevel="3">
      <c r="B280" s="21" t="s">
        <v>222</v>
      </c>
      <c r="C280" s="72"/>
      <c r="D280" s="23"/>
      <c r="G280" s="65">
        <f>+G275*'Reg Proy Inmob'!$C204</f>
        <v>0</v>
      </c>
      <c r="H280" s="65">
        <f>+H275*'Reg Proy Inmob'!$C204</f>
        <v>1314.8843993999999</v>
      </c>
      <c r="I280" s="65">
        <f>+I275*'Reg Proy Inmob'!$C204</f>
        <v>4382.9479979999996</v>
      </c>
      <c r="J280" s="65">
        <f>+J275*'Reg Proy Inmob'!$C204</f>
        <v>4382.9479979999996</v>
      </c>
      <c r="K280" s="65">
        <f>+K275*'Reg Proy Inmob'!$C204</f>
        <v>4382.9479979999996</v>
      </c>
      <c r="L280" s="65">
        <f>+L275*'Reg Proy Inmob'!$C204</f>
        <v>4382.9479979999996</v>
      </c>
      <c r="M280" s="65">
        <f>+M275*'Reg Proy Inmob'!$C204</f>
        <v>4382.9479979999996</v>
      </c>
      <c r="N280" s="65">
        <f>+N275*'Reg Proy Inmob'!$C204</f>
        <v>4382.9479979999996</v>
      </c>
      <c r="O280" s="65">
        <f>+O275*'Reg Proy Inmob'!$C204</f>
        <v>4382.9479979999996</v>
      </c>
      <c r="P280" s="65">
        <f>+P275*'Reg Proy Inmob'!$C204</f>
        <v>4382.9479979999996</v>
      </c>
      <c r="Q280" s="65">
        <f>+Q275*'Reg Proy Inmob'!$C204</f>
        <v>4382.9479979999996</v>
      </c>
      <c r="R280" s="65">
        <f>+R275*'Reg Proy Inmob'!$C204</f>
        <v>4382.9479979999996</v>
      </c>
      <c r="S280" s="65">
        <f>+S275*'Reg Proy Inmob'!$C204</f>
        <v>4382.9479979999996</v>
      </c>
      <c r="T280" s="65">
        <f>+T275*'Reg Proy Inmob'!$C204</f>
        <v>4382.9479979999996</v>
      </c>
      <c r="U280" s="65">
        <f>+U275*'Reg Proy Inmob'!$C204</f>
        <v>4382.9479979999996</v>
      </c>
      <c r="V280" s="65">
        <f>+V275*'Reg Proy Inmob'!$C204</f>
        <v>4382.9479979999996</v>
      </c>
      <c r="W280" s="65">
        <f>+W275*'Reg Proy Inmob'!$C204</f>
        <v>4382.9479979999996</v>
      </c>
      <c r="X280" s="65">
        <f>+X275*'Reg Proy Inmob'!$C204</f>
        <v>4382.9479979999996</v>
      </c>
      <c r="Y280" s="65">
        <f>+Y275*'Reg Proy Inmob'!$C204</f>
        <v>4382.9479979999996</v>
      </c>
      <c r="Z280" s="65">
        <f>+Z275*'Reg Proy Inmob'!$C204</f>
        <v>4382.9479979999996</v>
      </c>
      <c r="AA280" s="65">
        <f>+AA275*'Reg Proy Inmob'!$C204</f>
        <v>4382.9479979999996</v>
      </c>
    </row>
    <row r="281" spans="2:27" s="4" customFormat="1" ht="34" outlineLevel="3">
      <c r="B281" s="25" t="s">
        <v>56</v>
      </c>
      <c r="C281" s="72"/>
      <c r="G281" s="65">
        <f>+G275*'Reg Proy Inmob'!$C201</f>
        <v>0</v>
      </c>
      <c r="H281" s="65">
        <f>+H275*'Reg Proy Inmob'!$C201</f>
        <v>135.13500000000002</v>
      </c>
      <c r="I281" s="65">
        <f>+I275*'Reg Proy Inmob'!$C201</f>
        <v>450.45000000000005</v>
      </c>
      <c r="J281" s="65">
        <f>+J275*'Reg Proy Inmob'!$C201</f>
        <v>450.45000000000005</v>
      </c>
      <c r="K281" s="65">
        <f>+K275*'Reg Proy Inmob'!$C201</f>
        <v>450.45000000000005</v>
      </c>
      <c r="L281" s="65">
        <f>+L275*'Reg Proy Inmob'!$C201</f>
        <v>450.45000000000005</v>
      </c>
      <c r="M281" s="65">
        <f>+M275*'Reg Proy Inmob'!$C201</f>
        <v>450.45000000000005</v>
      </c>
      <c r="N281" s="65">
        <f>+N275*'Reg Proy Inmob'!$C201</f>
        <v>450.45000000000005</v>
      </c>
      <c r="O281" s="65">
        <f>+O275*'Reg Proy Inmob'!$C201</f>
        <v>450.45000000000005</v>
      </c>
      <c r="P281" s="65">
        <f>+P275*'Reg Proy Inmob'!$C201</f>
        <v>450.45000000000005</v>
      </c>
      <c r="Q281" s="65">
        <f>+Q275*'Reg Proy Inmob'!$C201</f>
        <v>450.45000000000005</v>
      </c>
      <c r="R281" s="65">
        <f>+R275*'Reg Proy Inmob'!$C201</f>
        <v>450.45000000000005</v>
      </c>
      <c r="S281" s="65">
        <f>+S275*'Reg Proy Inmob'!$C201</f>
        <v>450.45000000000005</v>
      </c>
      <c r="T281" s="65">
        <f>+T275*'Reg Proy Inmob'!$C201</f>
        <v>450.45000000000005</v>
      </c>
      <c r="U281" s="65">
        <f>+U275*'Reg Proy Inmob'!$C201</f>
        <v>450.45000000000005</v>
      </c>
      <c r="V281" s="65">
        <f>+V275*'Reg Proy Inmob'!$C201</f>
        <v>450.45000000000005</v>
      </c>
      <c r="W281" s="65">
        <f>+W275*'Reg Proy Inmob'!$C201</f>
        <v>450.45000000000005</v>
      </c>
      <c r="X281" s="65">
        <f>+X275*'Reg Proy Inmob'!$C201</f>
        <v>450.45000000000005</v>
      </c>
      <c r="Y281" s="65">
        <f>+Y275*'Reg Proy Inmob'!$C201</f>
        <v>450.45000000000005</v>
      </c>
      <c r="Z281" s="65">
        <f>+Z275*'Reg Proy Inmob'!$C201</f>
        <v>450.45000000000005</v>
      </c>
      <c r="AA281" s="65">
        <f>+AA275*'Reg Proy Inmob'!$C201</f>
        <v>450.45000000000005</v>
      </c>
    </row>
    <row r="282" spans="2:27" s="4" customFormat="1" ht="17" outlineLevel="2">
      <c r="B282" s="22" t="s">
        <v>59</v>
      </c>
      <c r="C282" s="24"/>
      <c r="G282" s="65">
        <f t="shared" ref="G282:L282" si="90">+G283+G284</f>
        <v>0</v>
      </c>
      <c r="H282" s="65">
        <f t="shared" si="90"/>
        <v>3283.2221993999992</v>
      </c>
      <c r="I282" s="65">
        <f t="shared" si="90"/>
        <v>10944.073998</v>
      </c>
      <c r="J282" s="65">
        <f t="shared" si="90"/>
        <v>10944.073998</v>
      </c>
      <c r="K282" s="65">
        <f t="shared" si="90"/>
        <v>10944.073998</v>
      </c>
      <c r="L282" s="65">
        <f t="shared" si="90"/>
        <v>10944.073998</v>
      </c>
      <c r="M282" s="65">
        <f t="shared" ref="M282:AA282" si="91">+M283+M284</f>
        <v>10944.073998</v>
      </c>
      <c r="N282" s="65">
        <f t="shared" si="91"/>
        <v>10944.073998</v>
      </c>
      <c r="O282" s="65">
        <f t="shared" si="91"/>
        <v>10944.073998</v>
      </c>
      <c r="P282" s="65">
        <f t="shared" si="91"/>
        <v>10944.073998</v>
      </c>
      <c r="Q282" s="65">
        <f t="shared" si="91"/>
        <v>10944.073998</v>
      </c>
      <c r="R282" s="65">
        <f t="shared" si="91"/>
        <v>10944.073998</v>
      </c>
      <c r="S282" s="65">
        <f t="shared" si="91"/>
        <v>10944.073998</v>
      </c>
      <c r="T282" s="65">
        <f t="shared" si="91"/>
        <v>10944.073998</v>
      </c>
      <c r="U282" s="65">
        <f t="shared" si="91"/>
        <v>10944.073998</v>
      </c>
      <c r="V282" s="65">
        <f t="shared" si="91"/>
        <v>10944.073998</v>
      </c>
      <c r="W282" s="65">
        <f t="shared" si="91"/>
        <v>10944.073998</v>
      </c>
      <c r="X282" s="65">
        <f t="shared" si="91"/>
        <v>10944.073998</v>
      </c>
      <c r="Y282" s="65">
        <f t="shared" si="91"/>
        <v>10944.073998</v>
      </c>
      <c r="Z282" s="65">
        <f t="shared" si="91"/>
        <v>10944.073998</v>
      </c>
      <c r="AA282" s="65">
        <f t="shared" si="91"/>
        <v>10944.073998</v>
      </c>
    </row>
    <row r="283" spans="2:27" s="4" customFormat="1" ht="17" outlineLevel="3">
      <c r="B283" s="25" t="s">
        <v>6</v>
      </c>
      <c r="C283" s="72"/>
      <c r="G283" s="65">
        <f>+G275*'Reg Proy Inmob'!$C203</f>
        <v>0</v>
      </c>
      <c r="H283" s="65">
        <f>+H275*'Reg Proy Inmob'!$C203</f>
        <v>2238.6077999999998</v>
      </c>
      <c r="I283" s="65">
        <f>+I275*'Reg Proy Inmob'!$C203</f>
        <v>7462.0259999999998</v>
      </c>
      <c r="J283" s="65">
        <f>+J275*'Reg Proy Inmob'!$C203</f>
        <v>7462.0259999999998</v>
      </c>
      <c r="K283" s="65">
        <f>+K275*'Reg Proy Inmob'!$C203</f>
        <v>7462.0259999999998</v>
      </c>
      <c r="L283" s="65">
        <f>+L275*'Reg Proy Inmob'!$C203</f>
        <v>7462.0259999999998</v>
      </c>
      <c r="M283" s="65">
        <f>+M275*'Reg Proy Inmob'!$C203</f>
        <v>7462.0259999999998</v>
      </c>
      <c r="N283" s="65">
        <f>+N275*'Reg Proy Inmob'!$C203</f>
        <v>7462.0259999999998</v>
      </c>
      <c r="O283" s="65">
        <f>+O275*'Reg Proy Inmob'!$C203</f>
        <v>7462.0259999999998</v>
      </c>
      <c r="P283" s="65">
        <f>+P275*'Reg Proy Inmob'!$C203</f>
        <v>7462.0259999999998</v>
      </c>
      <c r="Q283" s="65">
        <f>+Q275*'Reg Proy Inmob'!$C203</f>
        <v>7462.0259999999998</v>
      </c>
      <c r="R283" s="65">
        <f>+R275*'Reg Proy Inmob'!$C203</f>
        <v>7462.0259999999998</v>
      </c>
      <c r="S283" s="65">
        <f>+S275*'Reg Proy Inmob'!$C203</f>
        <v>7462.0259999999998</v>
      </c>
      <c r="T283" s="65">
        <f>+T275*'Reg Proy Inmob'!$C203</f>
        <v>7462.0259999999998</v>
      </c>
      <c r="U283" s="65">
        <f>+U275*'Reg Proy Inmob'!$C203</f>
        <v>7462.0259999999998</v>
      </c>
      <c r="V283" s="65">
        <f>+V275*'Reg Proy Inmob'!$C203</f>
        <v>7462.0259999999998</v>
      </c>
      <c r="W283" s="65">
        <f>+W275*'Reg Proy Inmob'!$C203</f>
        <v>7462.0259999999998</v>
      </c>
      <c r="X283" s="65">
        <f>+X275*'Reg Proy Inmob'!$C203</f>
        <v>7462.0259999999998</v>
      </c>
      <c r="Y283" s="65">
        <f>+Y275*'Reg Proy Inmob'!$C203</f>
        <v>7462.0259999999998</v>
      </c>
      <c r="Z283" s="65">
        <f>+Z275*'Reg Proy Inmob'!$C203</f>
        <v>7462.0259999999998</v>
      </c>
      <c r="AA283" s="65">
        <f>+AA275*'Reg Proy Inmob'!$C203</f>
        <v>7462.0259999999998</v>
      </c>
    </row>
    <row r="284" spans="2:27" s="4" customFormat="1" ht="17" outlineLevel="3">
      <c r="B284" s="25" t="s">
        <v>222</v>
      </c>
      <c r="C284" s="72"/>
      <c r="G284" s="65">
        <f>+G275*'Reg Proy Inmob'!$C205</f>
        <v>0</v>
      </c>
      <c r="H284" s="65">
        <f>+H275*'Reg Proy Inmob'!$C205</f>
        <v>1044.6143993999997</v>
      </c>
      <c r="I284" s="65">
        <f>+I275*'Reg Proy Inmob'!$C205</f>
        <v>3482.0479979999991</v>
      </c>
      <c r="J284" s="65">
        <f>+J275*'Reg Proy Inmob'!$C205</f>
        <v>3482.0479979999991</v>
      </c>
      <c r="K284" s="65">
        <f>+K275*'Reg Proy Inmob'!$C205</f>
        <v>3482.0479979999991</v>
      </c>
      <c r="L284" s="65">
        <f>+L275*'Reg Proy Inmob'!$C205</f>
        <v>3482.0479979999991</v>
      </c>
      <c r="M284" s="65">
        <f>+M275*'Reg Proy Inmob'!$C205</f>
        <v>3482.0479979999991</v>
      </c>
      <c r="N284" s="65">
        <f>+N275*'Reg Proy Inmob'!$C205</f>
        <v>3482.0479979999991</v>
      </c>
      <c r="O284" s="65">
        <f>+O275*'Reg Proy Inmob'!$C205</f>
        <v>3482.0479979999991</v>
      </c>
      <c r="P284" s="65">
        <f>+P275*'Reg Proy Inmob'!$C205</f>
        <v>3482.0479979999991</v>
      </c>
      <c r="Q284" s="65">
        <f>+Q275*'Reg Proy Inmob'!$C205</f>
        <v>3482.0479979999991</v>
      </c>
      <c r="R284" s="65">
        <f>+R275*'Reg Proy Inmob'!$C205</f>
        <v>3482.0479979999991</v>
      </c>
      <c r="S284" s="65">
        <f>+S275*'Reg Proy Inmob'!$C205</f>
        <v>3482.0479979999991</v>
      </c>
      <c r="T284" s="65">
        <f>+T275*'Reg Proy Inmob'!$C205</f>
        <v>3482.0479979999991</v>
      </c>
      <c r="U284" s="65">
        <f>+U275*'Reg Proy Inmob'!$C205</f>
        <v>3482.0479979999991</v>
      </c>
      <c r="V284" s="65">
        <f>+V275*'Reg Proy Inmob'!$C205</f>
        <v>3482.0479979999991</v>
      </c>
      <c r="W284" s="65">
        <f>+W275*'Reg Proy Inmob'!$C205</f>
        <v>3482.0479979999991</v>
      </c>
      <c r="X284" s="65">
        <f>+X275*'Reg Proy Inmob'!$C205</f>
        <v>3482.0479979999991</v>
      </c>
      <c r="Y284" s="65">
        <f>+Y275*'Reg Proy Inmob'!$C205</f>
        <v>3482.0479979999991</v>
      </c>
      <c r="Z284" s="65">
        <f>+Z275*'Reg Proy Inmob'!$C205</f>
        <v>3482.0479979999991</v>
      </c>
      <c r="AA284" s="65">
        <f>+AA275*'Reg Proy Inmob'!$C205</f>
        <v>3482.0479979999991</v>
      </c>
    </row>
    <row r="285" spans="2:27" s="4" customFormat="1" ht="17" outlineLevel="2">
      <c r="B285" s="22" t="s">
        <v>60</v>
      </c>
      <c r="C285" s="24"/>
      <c r="G285" s="65">
        <f>-G286+G287+G288+G289+G290+G291+G292+G293</f>
        <v>-1400</v>
      </c>
      <c r="H285" s="65">
        <f t="shared" ref="H285:AA285" si="92">-H286+H287+H288+H289+H290+H291+H292+H293</f>
        <v>-400</v>
      </c>
      <c r="I285" s="65">
        <f t="shared" si="92"/>
        <v>104.46836400000001</v>
      </c>
      <c r="J285" s="65">
        <f t="shared" si="92"/>
        <v>1423.2418200000002</v>
      </c>
      <c r="K285" s="65">
        <f t="shared" si="92"/>
        <v>1400</v>
      </c>
      <c r="L285" s="65">
        <f t="shared" si="92"/>
        <v>400</v>
      </c>
      <c r="M285" s="65">
        <f t="shared" si="92"/>
        <v>450.45000000000005</v>
      </c>
      <c r="N285" s="65">
        <f t="shared" si="92"/>
        <v>0</v>
      </c>
      <c r="O285" s="65">
        <f t="shared" si="92"/>
        <v>0</v>
      </c>
      <c r="P285" s="65">
        <f t="shared" si="92"/>
        <v>0</v>
      </c>
      <c r="Q285" s="65">
        <f t="shared" si="92"/>
        <v>0</v>
      </c>
      <c r="R285" s="65">
        <f t="shared" si="92"/>
        <v>0</v>
      </c>
      <c r="S285" s="65">
        <f t="shared" si="92"/>
        <v>0</v>
      </c>
      <c r="T285" s="65">
        <f t="shared" si="92"/>
        <v>0</v>
      </c>
      <c r="U285" s="65">
        <f t="shared" si="92"/>
        <v>0</v>
      </c>
      <c r="V285" s="65">
        <f t="shared" si="92"/>
        <v>0</v>
      </c>
      <c r="W285" s="65">
        <f t="shared" si="92"/>
        <v>0</v>
      </c>
      <c r="X285" s="65">
        <f t="shared" si="92"/>
        <v>0</v>
      </c>
      <c r="Y285" s="65">
        <f t="shared" si="92"/>
        <v>0</v>
      </c>
      <c r="Z285" s="65">
        <f t="shared" si="92"/>
        <v>0</v>
      </c>
      <c r="AA285" s="65">
        <f t="shared" si="92"/>
        <v>0</v>
      </c>
    </row>
    <row r="286" spans="2:27" outlineLevel="3">
      <c r="B286" s="21" t="s">
        <v>51</v>
      </c>
      <c r="C286" s="20"/>
      <c r="G286" s="67">
        <v>1400</v>
      </c>
      <c r="H286" s="67">
        <v>400</v>
      </c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8"/>
      <c r="U286" s="68"/>
      <c r="V286" s="68"/>
      <c r="W286" s="68"/>
      <c r="X286" s="68"/>
      <c r="Y286" s="68"/>
      <c r="Z286" s="68"/>
      <c r="AA286" s="38"/>
    </row>
    <row r="287" spans="2:27" outlineLevel="3">
      <c r="B287" s="21" t="s">
        <v>52</v>
      </c>
      <c r="C287" s="20"/>
      <c r="G287" s="67"/>
      <c r="H287" s="67"/>
      <c r="I287" s="67"/>
      <c r="J287" s="67"/>
      <c r="K287" s="67">
        <f>+G286</f>
        <v>1400</v>
      </c>
      <c r="L287" s="67">
        <f>+H286</f>
        <v>400</v>
      </c>
      <c r="M287" s="67"/>
      <c r="N287" s="67"/>
      <c r="O287" s="67"/>
      <c r="P287" s="67"/>
      <c r="Q287" s="67"/>
      <c r="R287" s="67"/>
      <c r="S287" s="67"/>
      <c r="T287" s="68"/>
      <c r="U287" s="68"/>
      <c r="V287" s="68"/>
      <c r="W287" s="68"/>
      <c r="X287" s="68"/>
      <c r="Y287" s="68"/>
      <c r="Z287" s="68"/>
      <c r="AA287" s="38"/>
    </row>
    <row r="288" spans="2:27" ht="51" outlineLevel="3">
      <c r="B288" s="25" t="s">
        <v>54</v>
      </c>
      <c r="C288" s="20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8"/>
      <c r="U288" s="68"/>
      <c r="V288" s="68"/>
      <c r="W288" s="68"/>
      <c r="X288" s="68"/>
      <c r="Y288" s="68"/>
      <c r="Z288" s="68"/>
      <c r="AA288" s="38"/>
    </row>
    <row r="289" spans="2:27" s="4" customFormat="1" ht="17" outlineLevel="3">
      <c r="B289" s="25" t="s">
        <v>61</v>
      </c>
      <c r="C289" s="24"/>
      <c r="G289" s="67"/>
      <c r="H289" s="67"/>
      <c r="I289" s="67"/>
      <c r="J289" s="67">
        <f>+J280-J284</f>
        <v>900.90000000000055</v>
      </c>
      <c r="K289" s="67"/>
      <c r="L289" s="67"/>
      <c r="M289" s="67"/>
      <c r="N289" s="67"/>
      <c r="O289" s="67"/>
      <c r="P289" s="67"/>
      <c r="Q289" s="67"/>
      <c r="R289" s="67"/>
      <c r="S289" s="67"/>
      <c r="T289" s="68"/>
      <c r="U289" s="68"/>
      <c r="V289" s="68"/>
      <c r="W289" s="68"/>
      <c r="X289" s="68"/>
      <c r="Y289" s="68"/>
      <c r="Z289" s="68"/>
      <c r="AA289" s="57"/>
    </row>
    <row r="290" spans="2:27" s="4" customFormat="1" ht="17" outlineLevel="3">
      <c r="B290" s="25" t="s">
        <v>62</v>
      </c>
      <c r="C290" s="24"/>
      <c r="G290" s="67"/>
      <c r="H290" s="67"/>
      <c r="I290" s="67">
        <f>+I277</f>
        <v>74.620260000000002</v>
      </c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8"/>
      <c r="U290" s="68"/>
      <c r="V290" s="68"/>
      <c r="W290" s="68"/>
      <c r="X290" s="68"/>
      <c r="Y290" s="68"/>
      <c r="Z290" s="68"/>
      <c r="AA290" s="57"/>
    </row>
    <row r="291" spans="2:27" s="4" customFormat="1" ht="17" outlineLevel="3">
      <c r="B291" s="25" t="s">
        <v>63</v>
      </c>
      <c r="C291" s="24"/>
      <c r="G291" s="67"/>
      <c r="H291" s="67"/>
      <c r="I291" s="67">
        <f>+I278</f>
        <v>29.848103999999999</v>
      </c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8"/>
      <c r="U291" s="68"/>
      <c r="V291" s="68"/>
      <c r="W291" s="68"/>
      <c r="X291" s="68"/>
      <c r="Y291" s="68"/>
      <c r="Z291" s="68"/>
      <c r="AA291" s="57"/>
    </row>
    <row r="292" spans="2:27" s="4" customFormat="1" ht="17" outlineLevel="3">
      <c r="B292" s="25" t="s">
        <v>64</v>
      </c>
      <c r="C292" s="24"/>
      <c r="G292" s="67"/>
      <c r="H292" s="67"/>
      <c r="I292" s="67"/>
      <c r="J292" s="67">
        <f>+J279-J283</f>
        <v>522.34181999999964</v>
      </c>
      <c r="K292" s="67"/>
      <c r="L292" s="67"/>
      <c r="M292" s="67"/>
      <c r="N292" s="67"/>
      <c r="O292" s="67"/>
      <c r="P292" s="67"/>
      <c r="Q292" s="67"/>
      <c r="R292" s="67"/>
      <c r="S292" s="67"/>
      <c r="T292" s="68"/>
      <c r="U292" s="68"/>
      <c r="V292" s="68"/>
      <c r="W292" s="68"/>
      <c r="X292" s="68"/>
      <c r="Y292" s="68"/>
      <c r="Z292" s="68"/>
      <c r="AA292" s="57"/>
    </row>
    <row r="293" spans="2:27" s="4" customFormat="1" ht="34" outlineLevel="3">
      <c r="B293" s="25" t="s">
        <v>65</v>
      </c>
      <c r="C293" s="24"/>
      <c r="G293" s="67"/>
      <c r="H293" s="67"/>
      <c r="I293" s="67"/>
      <c r="J293" s="67"/>
      <c r="K293" s="67"/>
      <c r="L293" s="67"/>
      <c r="M293" s="67">
        <f>+L281</f>
        <v>450.45000000000005</v>
      </c>
      <c r="N293" s="67"/>
      <c r="O293" s="67"/>
      <c r="P293" s="67"/>
      <c r="Q293" s="67"/>
      <c r="R293" s="67"/>
      <c r="S293" s="67"/>
      <c r="T293" s="68"/>
      <c r="U293" s="68"/>
      <c r="V293" s="68"/>
      <c r="W293" s="68"/>
      <c r="X293" s="68"/>
      <c r="Y293" s="68"/>
      <c r="Z293" s="68"/>
      <c r="AA293" s="57"/>
    </row>
    <row r="294" spans="2:27" s="4" customFormat="1" ht="34" outlineLevel="2">
      <c r="B294" s="25" t="s">
        <v>357</v>
      </c>
      <c r="C294" s="24"/>
      <c r="G294" s="209">
        <f>+(G270-F270)*Proyecciones!$D$64*'Reg Proy Inmob'!$F$191</f>
        <v>0</v>
      </c>
      <c r="H294" s="209">
        <f>+(H270-G270)*Proyecciones!$D$64*'Reg Proy Inmob'!$F$191</f>
        <v>0</v>
      </c>
      <c r="I294" s="209">
        <f>+(I270-H270)*Proyecciones!$D$64*'Reg Proy Inmob'!$F$191</f>
        <v>0</v>
      </c>
      <c r="J294" s="209">
        <f>+(J270-I270)*Proyecciones!$D$64*'Reg Proy Inmob'!$F$191</f>
        <v>8365.5</v>
      </c>
      <c r="K294" s="209">
        <f>+(K270-J270)*Proyecciones!$D$64*'Reg Proy Inmob'!$F$191</f>
        <v>0</v>
      </c>
      <c r="L294" s="209">
        <f>+(L270-K270)*Proyecciones!$D$64*'Reg Proy Inmob'!$F$191</f>
        <v>0</v>
      </c>
      <c r="M294" s="209">
        <f>+(M270-L270)*Proyecciones!$D$64*'Reg Proy Inmob'!$F$191</f>
        <v>0</v>
      </c>
      <c r="N294" s="209">
        <f>+(N270-M270)*Proyecciones!$D$64*'Reg Proy Inmob'!$F$191</f>
        <v>0</v>
      </c>
      <c r="O294" s="209">
        <f>+(O270-N270)*Proyecciones!$D$64*'Reg Proy Inmob'!$F$191</f>
        <v>0</v>
      </c>
      <c r="P294" s="209">
        <f>+(P270-O270)*Proyecciones!$D$64*'Reg Proy Inmob'!$F$191</f>
        <v>0</v>
      </c>
      <c r="Q294" s="209">
        <f>+(Q270-P270)*Proyecciones!$D$64*'Reg Proy Inmob'!$F$191</f>
        <v>0</v>
      </c>
      <c r="R294" s="209">
        <f>+(R270-Q270)*Proyecciones!$D$64*'Reg Proy Inmob'!$F$191</f>
        <v>0</v>
      </c>
      <c r="S294" s="209">
        <f>+(S270-R270)*Proyecciones!$D$64*'Reg Proy Inmob'!$F$191</f>
        <v>0</v>
      </c>
    </row>
    <row r="295" spans="2:27" outlineLevel="1">
      <c r="B295" s="18" t="s">
        <v>241</v>
      </c>
      <c r="C295" s="20"/>
      <c r="D295" t="s">
        <v>352</v>
      </c>
    </row>
    <row r="296" spans="2:27" outlineLevel="2">
      <c r="B296" s="19" t="s">
        <v>220</v>
      </c>
      <c r="C296" s="20"/>
    </row>
    <row r="297" spans="2:27" ht="34" outlineLevel="3">
      <c r="B297" s="25" t="s">
        <v>58</v>
      </c>
      <c r="C297" s="20"/>
      <c r="F297" s="60"/>
      <c r="G297" s="60"/>
      <c r="H297" s="60">
        <v>10</v>
      </c>
      <c r="I297" s="60">
        <f>+H297+48</f>
        <v>58</v>
      </c>
      <c r="J297" s="60">
        <f>+I297+4</f>
        <v>62</v>
      </c>
      <c r="K297" s="60">
        <v>62</v>
      </c>
      <c r="L297" s="60">
        <v>62</v>
      </c>
      <c r="M297" s="60">
        <v>62</v>
      </c>
      <c r="N297" s="60">
        <v>62</v>
      </c>
      <c r="O297" s="60">
        <v>62</v>
      </c>
      <c r="P297" s="60">
        <v>62</v>
      </c>
      <c r="Q297" s="60">
        <v>62</v>
      </c>
      <c r="R297" s="60">
        <v>62</v>
      </c>
      <c r="S297" s="60">
        <v>62</v>
      </c>
      <c r="T297" s="60">
        <v>62</v>
      </c>
      <c r="U297" s="60">
        <v>62</v>
      </c>
      <c r="V297" s="60">
        <v>62</v>
      </c>
      <c r="W297" s="60">
        <v>62</v>
      </c>
      <c r="X297" s="60">
        <v>62</v>
      </c>
      <c r="Y297" s="60">
        <v>62</v>
      </c>
      <c r="Z297" s="60">
        <v>62</v>
      </c>
      <c r="AA297" s="60">
        <v>62</v>
      </c>
    </row>
    <row r="298" spans="2:27" ht="17" outlineLevel="3">
      <c r="B298" s="25" t="s">
        <v>66</v>
      </c>
      <c r="C298" s="20"/>
      <c r="F298" s="61"/>
      <c r="G298" s="61"/>
      <c r="H298" s="61">
        <f>+H297*I299</f>
        <v>4280.4838709677424</v>
      </c>
      <c r="I298" s="61">
        <f>+I297*J299</f>
        <v>24826.806451612905</v>
      </c>
      <c r="J298" s="61">
        <f>+J297*K299</f>
        <v>26539</v>
      </c>
      <c r="K298" s="61">
        <f>+K297*L299</f>
        <v>26539</v>
      </c>
      <c r="L298" s="61">
        <v>26539</v>
      </c>
      <c r="M298" s="61">
        <v>26539</v>
      </c>
      <c r="N298" s="61">
        <v>26539</v>
      </c>
      <c r="O298" s="61">
        <v>26539</v>
      </c>
      <c r="P298" s="61">
        <v>26539</v>
      </c>
      <c r="Q298" s="61">
        <v>26539</v>
      </c>
      <c r="R298" s="61">
        <v>26539</v>
      </c>
      <c r="S298" s="61">
        <v>26539</v>
      </c>
      <c r="T298" s="61">
        <v>26539</v>
      </c>
      <c r="U298" s="61">
        <v>26539</v>
      </c>
      <c r="V298" s="61">
        <v>26539</v>
      </c>
      <c r="W298" s="61">
        <v>26539</v>
      </c>
      <c r="X298" s="61">
        <v>26539</v>
      </c>
      <c r="Y298" s="61">
        <v>26539</v>
      </c>
      <c r="Z298" s="61">
        <v>26539</v>
      </c>
      <c r="AA298" s="61">
        <v>26539</v>
      </c>
    </row>
    <row r="299" spans="2:27" ht="17" outlineLevel="3">
      <c r="B299" s="25" t="s">
        <v>67</v>
      </c>
      <c r="C299" s="20"/>
      <c r="F299" s="73">
        <f t="shared" ref="F299:L299" si="93">+IF(ISERROR(F298/F297),0,F298/F297)</f>
        <v>0</v>
      </c>
      <c r="G299" s="73">
        <f t="shared" si="93"/>
        <v>0</v>
      </c>
      <c r="H299" s="73">
        <f t="shared" si="93"/>
        <v>428.04838709677426</v>
      </c>
      <c r="I299" s="73">
        <f t="shared" si="93"/>
        <v>428.04838709677421</v>
      </c>
      <c r="J299" s="73">
        <f t="shared" si="93"/>
        <v>428.04838709677421</v>
      </c>
      <c r="K299" s="73">
        <f t="shared" si="93"/>
        <v>428.04838709677421</v>
      </c>
      <c r="L299" s="73">
        <f t="shared" si="93"/>
        <v>428.04838709677421</v>
      </c>
      <c r="M299" s="73">
        <f t="shared" ref="M299:AA299" si="94">+IF(ISERROR(M298/M297),0,M298/M297)</f>
        <v>428.04838709677421</v>
      </c>
      <c r="N299" s="73">
        <f t="shared" si="94"/>
        <v>428.04838709677421</v>
      </c>
      <c r="O299" s="73">
        <f t="shared" si="94"/>
        <v>428.04838709677421</v>
      </c>
      <c r="P299" s="73">
        <f t="shared" si="94"/>
        <v>428.04838709677421</v>
      </c>
      <c r="Q299" s="73">
        <f t="shared" si="94"/>
        <v>428.04838709677421</v>
      </c>
      <c r="R299" s="73">
        <f t="shared" si="94"/>
        <v>428.04838709677421</v>
      </c>
      <c r="S299" s="73">
        <f t="shared" si="94"/>
        <v>428.04838709677421</v>
      </c>
      <c r="T299" s="73">
        <f t="shared" si="94"/>
        <v>428.04838709677421</v>
      </c>
      <c r="U299" s="73">
        <f t="shared" si="94"/>
        <v>428.04838709677421</v>
      </c>
      <c r="V299" s="73">
        <f t="shared" si="94"/>
        <v>428.04838709677421</v>
      </c>
      <c r="W299" s="73">
        <f t="shared" si="94"/>
        <v>428.04838709677421</v>
      </c>
      <c r="X299" s="73">
        <f t="shared" si="94"/>
        <v>428.04838709677421</v>
      </c>
      <c r="Y299" s="73">
        <f t="shared" si="94"/>
        <v>428.04838709677421</v>
      </c>
      <c r="Z299" s="73">
        <f t="shared" si="94"/>
        <v>428.04838709677421</v>
      </c>
      <c r="AA299" s="73">
        <f t="shared" si="94"/>
        <v>428.04838709677421</v>
      </c>
    </row>
    <row r="300" spans="2:27" ht="17" outlineLevel="2">
      <c r="B300" s="22" t="s">
        <v>216</v>
      </c>
      <c r="C300" s="20"/>
      <c r="G300" s="26"/>
      <c r="H300" s="26"/>
    </row>
    <row r="301" spans="2:27" ht="34" outlineLevel="3">
      <c r="B301" s="25" t="s">
        <v>217</v>
      </c>
      <c r="C301" s="20"/>
      <c r="G301" s="69"/>
      <c r="H301" s="69"/>
      <c r="I301" s="66"/>
      <c r="J301" s="66"/>
      <c r="K301" s="66">
        <v>62</v>
      </c>
      <c r="L301" s="66">
        <v>62</v>
      </c>
      <c r="M301" s="66">
        <v>62</v>
      </c>
      <c r="N301" s="66">
        <v>62</v>
      </c>
      <c r="O301" s="66">
        <v>62</v>
      </c>
      <c r="P301" s="66">
        <v>62</v>
      </c>
      <c r="Q301" s="66">
        <v>62</v>
      </c>
      <c r="R301" s="66">
        <v>62</v>
      </c>
      <c r="S301" s="66">
        <v>62</v>
      </c>
      <c r="T301" s="66">
        <v>62</v>
      </c>
      <c r="U301" s="66">
        <v>62</v>
      </c>
      <c r="V301" s="66">
        <v>62</v>
      </c>
      <c r="W301" s="66">
        <v>62</v>
      </c>
      <c r="X301" s="66">
        <v>62</v>
      </c>
      <c r="Y301" s="66">
        <v>62</v>
      </c>
      <c r="Z301" s="66">
        <v>62</v>
      </c>
      <c r="AA301" s="66">
        <v>62</v>
      </c>
    </row>
    <row r="302" spans="2:27" ht="34" outlineLevel="3">
      <c r="B302" s="25" t="s">
        <v>218</v>
      </c>
      <c r="C302" s="20"/>
      <c r="G302" s="69"/>
      <c r="H302" s="69"/>
      <c r="I302" s="66"/>
      <c r="J302" s="66"/>
      <c r="K302" s="66">
        <f>+K301*K303</f>
        <v>26539</v>
      </c>
      <c r="L302" s="66">
        <f>+L298</f>
        <v>26539</v>
      </c>
      <c r="M302" s="66">
        <f t="shared" ref="M302:AA302" si="95">+M298</f>
        <v>26539</v>
      </c>
      <c r="N302" s="66">
        <f t="shared" si="95"/>
        <v>26539</v>
      </c>
      <c r="O302" s="66">
        <f t="shared" si="95"/>
        <v>26539</v>
      </c>
      <c r="P302" s="66">
        <f t="shared" si="95"/>
        <v>26539</v>
      </c>
      <c r="Q302" s="66">
        <f t="shared" si="95"/>
        <v>26539</v>
      </c>
      <c r="R302" s="66">
        <f t="shared" si="95"/>
        <v>26539</v>
      </c>
      <c r="S302" s="66">
        <f t="shared" si="95"/>
        <v>26539</v>
      </c>
      <c r="T302" s="66">
        <f t="shared" si="95"/>
        <v>26539</v>
      </c>
      <c r="U302" s="66">
        <f t="shared" si="95"/>
        <v>26539</v>
      </c>
      <c r="V302" s="66">
        <f t="shared" si="95"/>
        <v>26539</v>
      </c>
      <c r="W302" s="66">
        <f t="shared" si="95"/>
        <v>26539</v>
      </c>
      <c r="X302" s="66">
        <f t="shared" si="95"/>
        <v>26539</v>
      </c>
      <c r="Y302" s="66">
        <f t="shared" si="95"/>
        <v>26539</v>
      </c>
      <c r="Z302" s="66">
        <f t="shared" si="95"/>
        <v>26539</v>
      </c>
      <c r="AA302" s="66">
        <f t="shared" si="95"/>
        <v>26539</v>
      </c>
    </row>
    <row r="303" spans="2:27" ht="17" outlineLevel="3">
      <c r="B303" s="25" t="s">
        <v>219</v>
      </c>
      <c r="C303" s="20"/>
      <c r="G303" s="26">
        <f>+IF(ISERROR(G302/G301),0,G302/G301)</f>
        <v>0</v>
      </c>
      <c r="H303" s="26">
        <f>+IF(ISERROR(H302/H301),0,H302/H301)</f>
        <v>0</v>
      </c>
      <c r="I303" s="26">
        <f>+IF(ISERROR(I302/I301),0,I302/I301)</f>
        <v>0</v>
      </c>
      <c r="J303" s="26">
        <f>+IF(ISERROR(J302/J301),0,J302/J301)</f>
        <v>0</v>
      </c>
      <c r="K303" s="26">
        <f>+L303</f>
        <v>428.04838709677421</v>
      </c>
      <c r="L303" s="26">
        <f>+IF(ISERROR(L302/L301),0,L302/L301)</f>
        <v>428.04838709677421</v>
      </c>
      <c r="M303" s="26">
        <f t="shared" ref="M303:AA303" si="96">+IF(ISERROR(M302/M301),0,M302/M301)</f>
        <v>428.04838709677421</v>
      </c>
      <c r="N303" s="26">
        <f t="shared" si="96"/>
        <v>428.04838709677421</v>
      </c>
      <c r="O303" s="26">
        <f t="shared" si="96"/>
        <v>428.04838709677421</v>
      </c>
      <c r="P303" s="26">
        <f t="shared" si="96"/>
        <v>428.04838709677421</v>
      </c>
      <c r="Q303" s="26">
        <f t="shared" si="96"/>
        <v>428.04838709677421</v>
      </c>
      <c r="R303" s="26">
        <f t="shared" si="96"/>
        <v>428.04838709677421</v>
      </c>
      <c r="S303" s="26">
        <f t="shared" si="96"/>
        <v>428.04838709677421</v>
      </c>
      <c r="T303" s="26">
        <f t="shared" si="96"/>
        <v>428.04838709677421</v>
      </c>
      <c r="U303" s="26">
        <f t="shared" si="96"/>
        <v>428.04838709677421</v>
      </c>
      <c r="V303" s="26">
        <f t="shared" si="96"/>
        <v>428.04838709677421</v>
      </c>
      <c r="W303" s="26">
        <f t="shared" si="96"/>
        <v>428.04838709677421</v>
      </c>
      <c r="X303" s="26">
        <f t="shared" si="96"/>
        <v>428.04838709677421</v>
      </c>
      <c r="Y303" s="26">
        <f t="shared" si="96"/>
        <v>428.04838709677421</v>
      </c>
      <c r="Z303" s="26">
        <f t="shared" si="96"/>
        <v>428.04838709677421</v>
      </c>
      <c r="AA303" s="26">
        <f t="shared" si="96"/>
        <v>428.04838709677421</v>
      </c>
    </row>
    <row r="304" spans="2:27" ht="17" outlineLevel="2">
      <c r="B304" s="22" t="s">
        <v>68</v>
      </c>
      <c r="C304" s="20"/>
    </row>
    <row r="305" spans="2:27" ht="34" outlineLevel="2">
      <c r="B305" s="22" t="s">
        <v>221</v>
      </c>
      <c r="C305" s="20" t="s">
        <v>53</v>
      </c>
      <c r="D305" s="1">
        <v>0.11</v>
      </c>
      <c r="F305">
        <v>0</v>
      </c>
      <c r="G305" s="60"/>
      <c r="H305" s="60"/>
      <c r="I305" s="60"/>
      <c r="J305" s="60"/>
      <c r="K305" s="60"/>
      <c r="L305" s="60"/>
    </row>
    <row r="306" spans="2:27" outlineLevel="2">
      <c r="B306" s="19" t="s">
        <v>55</v>
      </c>
      <c r="C306" s="20"/>
      <c r="F306" s="13"/>
      <c r="G306" s="70"/>
      <c r="H306" s="70"/>
      <c r="I306" s="70">
        <v>7.0000000000000007E-2</v>
      </c>
      <c r="J306" s="70">
        <v>0.85</v>
      </c>
      <c r="K306" s="70">
        <v>1</v>
      </c>
      <c r="L306" s="70">
        <v>1</v>
      </c>
      <c r="M306" s="70">
        <v>1</v>
      </c>
      <c r="N306" s="70">
        <v>1</v>
      </c>
      <c r="O306" s="70">
        <v>1</v>
      </c>
      <c r="P306" s="70">
        <v>1</v>
      </c>
      <c r="Q306" s="70">
        <v>1</v>
      </c>
      <c r="R306" s="70">
        <v>1</v>
      </c>
      <c r="S306" s="70">
        <v>1</v>
      </c>
      <c r="T306" s="70">
        <v>1</v>
      </c>
      <c r="U306" s="70">
        <v>1</v>
      </c>
      <c r="V306" s="70">
        <v>1</v>
      </c>
      <c r="W306" s="70">
        <v>1</v>
      </c>
      <c r="X306" s="70">
        <v>1</v>
      </c>
      <c r="Y306" s="70">
        <v>1</v>
      </c>
      <c r="Z306" s="70">
        <v>1</v>
      </c>
      <c r="AA306" s="70">
        <v>1</v>
      </c>
    </row>
    <row r="307" spans="2:27" outlineLevel="2">
      <c r="B307" s="19" t="s">
        <v>224</v>
      </c>
      <c r="C307" s="20"/>
      <c r="F307" s="13"/>
      <c r="G307" s="64">
        <f t="shared" ref="G307:L307" si="97">+G306*G298</f>
        <v>0</v>
      </c>
      <c r="H307" s="64">
        <f t="shared" si="97"/>
        <v>0</v>
      </c>
      <c r="I307" s="64">
        <f t="shared" si="97"/>
        <v>1737.8764516129036</v>
      </c>
      <c r="J307" s="64">
        <f t="shared" si="97"/>
        <v>22558.149999999998</v>
      </c>
      <c r="K307" s="64">
        <f t="shared" si="97"/>
        <v>26539</v>
      </c>
      <c r="L307" s="64">
        <f t="shared" si="97"/>
        <v>26539</v>
      </c>
      <c r="M307" s="64">
        <f t="shared" ref="M307:AA307" si="98">+M306*M298</f>
        <v>26539</v>
      </c>
      <c r="N307" s="64">
        <f t="shared" si="98"/>
        <v>26539</v>
      </c>
      <c r="O307" s="64">
        <f t="shared" si="98"/>
        <v>26539</v>
      </c>
      <c r="P307" s="64">
        <f t="shared" si="98"/>
        <v>26539</v>
      </c>
      <c r="Q307" s="64">
        <f t="shared" si="98"/>
        <v>26539</v>
      </c>
      <c r="R307" s="64">
        <f t="shared" si="98"/>
        <v>26539</v>
      </c>
      <c r="S307" s="64">
        <f t="shared" si="98"/>
        <v>26539</v>
      </c>
      <c r="T307" s="64">
        <f t="shared" si="98"/>
        <v>26539</v>
      </c>
      <c r="U307" s="64">
        <f t="shared" si="98"/>
        <v>26539</v>
      </c>
      <c r="V307" s="64">
        <f t="shared" si="98"/>
        <v>26539</v>
      </c>
      <c r="W307" s="64">
        <f t="shared" si="98"/>
        <v>26539</v>
      </c>
      <c r="X307" s="64">
        <f t="shared" si="98"/>
        <v>26539</v>
      </c>
      <c r="Y307" s="64">
        <f t="shared" si="98"/>
        <v>26539</v>
      </c>
      <c r="Z307" s="64">
        <f t="shared" si="98"/>
        <v>26539</v>
      </c>
      <c r="AA307" s="64">
        <f t="shared" si="98"/>
        <v>26539</v>
      </c>
    </row>
    <row r="308" spans="2:27" outlineLevel="2">
      <c r="B308" s="19" t="s">
        <v>225</v>
      </c>
      <c r="C308" s="20"/>
      <c r="G308" s="65">
        <f t="shared" ref="G308:L308" si="99">+G309+G310+G311+G312+G313</f>
        <v>0</v>
      </c>
      <c r="H308" s="65">
        <f t="shared" si="99"/>
        <v>0</v>
      </c>
      <c r="I308" s="65">
        <f t="shared" si="99"/>
        <v>872.46489848970987</v>
      </c>
      <c r="J308" s="65">
        <f t="shared" si="99"/>
        <v>11324.852253794999</v>
      </c>
      <c r="K308" s="65">
        <f t="shared" si="99"/>
        <v>13323.3555927</v>
      </c>
      <c r="L308" s="65">
        <f t="shared" si="99"/>
        <v>13323.3555927</v>
      </c>
      <c r="M308" s="65">
        <f t="shared" ref="M308:AA308" si="100">+M309+M310+M311+M312+M313</f>
        <v>13323.3555927</v>
      </c>
      <c r="N308" s="65">
        <f t="shared" si="100"/>
        <v>13323.3555927</v>
      </c>
      <c r="O308" s="65">
        <f t="shared" si="100"/>
        <v>13323.3555927</v>
      </c>
      <c r="P308" s="65">
        <f t="shared" si="100"/>
        <v>13323.3555927</v>
      </c>
      <c r="Q308" s="65">
        <f t="shared" si="100"/>
        <v>13323.3555927</v>
      </c>
      <c r="R308" s="65">
        <f t="shared" si="100"/>
        <v>13323.3555927</v>
      </c>
      <c r="S308" s="65">
        <f t="shared" si="100"/>
        <v>13323.3555927</v>
      </c>
      <c r="T308" s="65">
        <f t="shared" si="100"/>
        <v>13323.3555927</v>
      </c>
      <c r="U308" s="65">
        <f t="shared" si="100"/>
        <v>13323.3555927</v>
      </c>
      <c r="V308" s="65">
        <f t="shared" si="100"/>
        <v>13323.3555927</v>
      </c>
      <c r="W308" s="65">
        <f t="shared" si="100"/>
        <v>13323.3555927</v>
      </c>
      <c r="X308" s="65">
        <f t="shared" si="100"/>
        <v>13323.3555927</v>
      </c>
      <c r="Y308" s="65">
        <f t="shared" si="100"/>
        <v>13323.3555927</v>
      </c>
      <c r="Z308" s="65">
        <f t="shared" si="100"/>
        <v>13323.3555927</v>
      </c>
      <c r="AA308" s="65">
        <f t="shared" si="100"/>
        <v>13323.3555927</v>
      </c>
    </row>
    <row r="309" spans="2:27" s="4" customFormat="1" outlineLevel="3">
      <c r="B309" s="21" t="s">
        <v>7</v>
      </c>
      <c r="C309" s="21"/>
      <c r="D309" s="23"/>
      <c r="G309" s="65">
        <f>+G307*'Reg Proy Inmob'!$C224</f>
        <v>0</v>
      </c>
      <c r="H309" s="65">
        <f>+H307*'Reg Proy Inmob'!$C224</f>
        <v>0</v>
      </c>
      <c r="I309" s="65">
        <f>+I307*'Reg Proy Inmob'!$C224</f>
        <v>5.0381038332258079</v>
      </c>
      <c r="J309" s="65">
        <f>+J307*'Reg Proy Inmob'!$C224</f>
        <v>65.39607685</v>
      </c>
      <c r="K309" s="65">
        <f>+K307*'Reg Proy Inmob'!$C224</f>
        <v>76.936560999999998</v>
      </c>
      <c r="L309" s="65">
        <f>+L307*'Reg Proy Inmob'!$C224</f>
        <v>76.936560999999998</v>
      </c>
      <c r="M309" s="65">
        <f>+M307*'Reg Proy Inmob'!$C224</f>
        <v>76.936560999999998</v>
      </c>
      <c r="N309" s="65">
        <f>+N307*'Reg Proy Inmob'!$C224</f>
        <v>76.936560999999998</v>
      </c>
      <c r="O309" s="65">
        <f>+O307*'Reg Proy Inmob'!$C224</f>
        <v>76.936560999999998</v>
      </c>
      <c r="P309" s="65">
        <f>+P307*'Reg Proy Inmob'!$C224</f>
        <v>76.936560999999998</v>
      </c>
      <c r="Q309" s="65">
        <f>+Q307*'Reg Proy Inmob'!$C224</f>
        <v>76.936560999999998</v>
      </c>
      <c r="R309" s="65">
        <f>+R307*'Reg Proy Inmob'!$C224</f>
        <v>76.936560999999998</v>
      </c>
      <c r="S309" s="65">
        <f>+S307*'Reg Proy Inmob'!$C224</f>
        <v>76.936560999999998</v>
      </c>
      <c r="T309" s="65">
        <f>+T307*'Reg Proy Inmob'!$C224</f>
        <v>76.936560999999998</v>
      </c>
      <c r="U309" s="65">
        <f>+U307*'Reg Proy Inmob'!$C224</f>
        <v>76.936560999999998</v>
      </c>
      <c r="V309" s="65">
        <f>+V307*'Reg Proy Inmob'!$C224</f>
        <v>76.936560999999998</v>
      </c>
      <c r="W309" s="65">
        <f>+W307*'Reg Proy Inmob'!$C224</f>
        <v>76.936560999999998</v>
      </c>
      <c r="X309" s="65">
        <f>+X307*'Reg Proy Inmob'!$C224</f>
        <v>76.936560999999998</v>
      </c>
      <c r="Y309" s="65">
        <f>+Y307*'Reg Proy Inmob'!$C224</f>
        <v>76.936560999999998</v>
      </c>
      <c r="Z309" s="65">
        <f>+Z307*'Reg Proy Inmob'!$C224</f>
        <v>76.936560999999998</v>
      </c>
      <c r="AA309" s="65">
        <f>+AA307*'Reg Proy Inmob'!$C224</f>
        <v>76.936560999999998</v>
      </c>
    </row>
    <row r="310" spans="2:27" s="4" customFormat="1" outlineLevel="3">
      <c r="B310" s="21" t="s">
        <v>11</v>
      </c>
      <c r="C310" s="72"/>
      <c r="D310" s="23"/>
      <c r="G310" s="65">
        <f>+G307*'Reg Proy Inmob'!$C225</f>
        <v>0</v>
      </c>
      <c r="H310" s="65">
        <f>+H307*'Reg Proy Inmob'!$C225</f>
        <v>0</v>
      </c>
      <c r="I310" s="65">
        <f>+I307*'Reg Proy Inmob'!$C225</f>
        <v>2.0152415332903231</v>
      </c>
      <c r="J310" s="65">
        <f>+J307*'Reg Proy Inmob'!$C225</f>
        <v>26.158430739999996</v>
      </c>
      <c r="K310" s="65">
        <f>+K307*'Reg Proy Inmob'!$C225</f>
        <v>30.7746244</v>
      </c>
      <c r="L310" s="65">
        <f>+L307*'Reg Proy Inmob'!$C225</f>
        <v>30.7746244</v>
      </c>
      <c r="M310" s="65">
        <f>+M307*'Reg Proy Inmob'!$C225</f>
        <v>30.7746244</v>
      </c>
      <c r="N310" s="65">
        <f>+N307*'Reg Proy Inmob'!$C225</f>
        <v>30.7746244</v>
      </c>
      <c r="O310" s="65">
        <f>+O307*'Reg Proy Inmob'!$C225</f>
        <v>30.7746244</v>
      </c>
      <c r="P310" s="65">
        <f>+P307*'Reg Proy Inmob'!$C225</f>
        <v>30.7746244</v>
      </c>
      <c r="Q310" s="65">
        <f>+Q307*'Reg Proy Inmob'!$C225</f>
        <v>30.7746244</v>
      </c>
      <c r="R310" s="65">
        <f>+R307*'Reg Proy Inmob'!$C225</f>
        <v>30.7746244</v>
      </c>
      <c r="S310" s="65">
        <f>+S307*'Reg Proy Inmob'!$C225</f>
        <v>30.7746244</v>
      </c>
      <c r="T310" s="65">
        <f>+T307*'Reg Proy Inmob'!$C225</f>
        <v>30.7746244</v>
      </c>
      <c r="U310" s="65">
        <f>+U307*'Reg Proy Inmob'!$C225</f>
        <v>30.7746244</v>
      </c>
      <c r="V310" s="65">
        <f>+V307*'Reg Proy Inmob'!$C225</f>
        <v>30.7746244</v>
      </c>
      <c r="W310" s="65">
        <f>+W307*'Reg Proy Inmob'!$C225</f>
        <v>30.7746244</v>
      </c>
      <c r="X310" s="65">
        <f>+X307*'Reg Proy Inmob'!$C225</f>
        <v>30.7746244</v>
      </c>
      <c r="Y310" s="65">
        <f>+Y307*'Reg Proy Inmob'!$C225</f>
        <v>30.7746244</v>
      </c>
      <c r="Z310" s="65">
        <f>+Z307*'Reg Proy Inmob'!$C225</f>
        <v>30.7746244</v>
      </c>
      <c r="AA310" s="65">
        <f>+AA307*'Reg Proy Inmob'!$C225</f>
        <v>30.7746244</v>
      </c>
    </row>
    <row r="311" spans="2:27" s="4" customFormat="1" outlineLevel="3">
      <c r="B311" s="21" t="s">
        <v>6</v>
      </c>
      <c r="C311" s="72"/>
      <c r="G311" s="65">
        <f>+G307*'Reg Proy Inmob'!$C227</f>
        <v>0</v>
      </c>
      <c r="H311" s="65">
        <f>+H307*'Reg Proy Inmob'!$C227</f>
        <v>0</v>
      </c>
      <c r="I311" s="65">
        <f>+I307*'Reg Proy Inmob'!$C227</f>
        <v>539.07711015516134</v>
      </c>
      <c r="J311" s="65">
        <f>+J307*'Reg Proy Inmob'!$C227</f>
        <v>6997.3802229499988</v>
      </c>
      <c r="K311" s="65">
        <f>+K307*'Reg Proy Inmob'!$C227</f>
        <v>8232.2120269999996</v>
      </c>
      <c r="L311" s="65">
        <f>+L307*'Reg Proy Inmob'!$C227</f>
        <v>8232.2120269999996</v>
      </c>
      <c r="M311" s="65">
        <f>+M307*'Reg Proy Inmob'!$C227</f>
        <v>8232.2120269999996</v>
      </c>
      <c r="N311" s="65">
        <f>+N307*'Reg Proy Inmob'!$C227</f>
        <v>8232.2120269999996</v>
      </c>
      <c r="O311" s="65">
        <f>+O307*'Reg Proy Inmob'!$C227</f>
        <v>8232.2120269999996</v>
      </c>
      <c r="P311" s="65">
        <f>+P307*'Reg Proy Inmob'!$C227</f>
        <v>8232.2120269999996</v>
      </c>
      <c r="Q311" s="65">
        <f>+Q307*'Reg Proy Inmob'!$C227</f>
        <v>8232.2120269999996</v>
      </c>
      <c r="R311" s="65">
        <f>+R307*'Reg Proy Inmob'!$C227</f>
        <v>8232.2120269999996</v>
      </c>
      <c r="S311" s="65">
        <f>+S307*'Reg Proy Inmob'!$C227</f>
        <v>8232.2120269999996</v>
      </c>
      <c r="T311" s="65">
        <f>+T307*'Reg Proy Inmob'!$C227</f>
        <v>8232.2120269999996</v>
      </c>
      <c r="U311" s="65">
        <f>+U307*'Reg Proy Inmob'!$C227</f>
        <v>8232.2120269999996</v>
      </c>
      <c r="V311" s="65">
        <f>+V307*'Reg Proy Inmob'!$C227</f>
        <v>8232.2120269999996</v>
      </c>
      <c r="W311" s="65">
        <f>+W307*'Reg Proy Inmob'!$C227</f>
        <v>8232.2120269999996</v>
      </c>
      <c r="X311" s="65">
        <f>+X307*'Reg Proy Inmob'!$C227</f>
        <v>8232.2120269999996</v>
      </c>
      <c r="Y311" s="65">
        <f>+Y307*'Reg Proy Inmob'!$C227</f>
        <v>8232.2120269999996</v>
      </c>
      <c r="Z311" s="65">
        <f>+Z307*'Reg Proy Inmob'!$C227</f>
        <v>8232.2120269999996</v>
      </c>
      <c r="AA311" s="65">
        <f>+AA307*'Reg Proy Inmob'!$C227</f>
        <v>8232.2120269999996</v>
      </c>
    </row>
    <row r="312" spans="2:27" s="4" customFormat="1" outlineLevel="3">
      <c r="B312" s="21" t="s">
        <v>222</v>
      </c>
      <c r="C312" s="72"/>
      <c r="D312" s="23"/>
      <c r="G312" s="65">
        <f>+G307*'Reg Proy Inmob'!$C229</f>
        <v>0</v>
      </c>
      <c r="H312" s="65">
        <f>+H307*'Reg Proy Inmob'!$C229</f>
        <v>0</v>
      </c>
      <c r="I312" s="65">
        <f>+I307*'Reg Proy Inmob'!$C229</f>
        <v>291.57691393577431</v>
      </c>
      <c r="J312" s="65">
        <f>+J307*'Reg Proy Inmob'!$C229</f>
        <v>3784.7545232550001</v>
      </c>
      <c r="K312" s="65">
        <f>+K307*'Reg Proy Inmob'!$C229</f>
        <v>4452.6523803000009</v>
      </c>
      <c r="L312" s="65">
        <f>+L307*'Reg Proy Inmob'!$C229</f>
        <v>4452.6523803000009</v>
      </c>
      <c r="M312" s="65">
        <f>+M307*'Reg Proy Inmob'!$C229</f>
        <v>4452.6523803000009</v>
      </c>
      <c r="N312" s="65">
        <f>+N307*'Reg Proy Inmob'!$C229</f>
        <v>4452.6523803000009</v>
      </c>
      <c r="O312" s="65">
        <f>+O307*'Reg Proy Inmob'!$C229</f>
        <v>4452.6523803000009</v>
      </c>
      <c r="P312" s="65">
        <f>+P307*'Reg Proy Inmob'!$C229</f>
        <v>4452.6523803000009</v>
      </c>
      <c r="Q312" s="65">
        <f>+Q307*'Reg Proy Inmob'!$C229</f>
        <v>4452.6523803000009</v>
      </c>
      <c r="R312" s="65">
        <f>+R307*'Reg Proy Inmob'!$C229</f>
        <v>4452.6523803000009</v>
      </c>
      <c r="S312" s="65">
        <f>+S307*'Reg Proy Inmob'!$C229</f>
        <v>4452.6523803000009</v>
      </c>
      <c r="T312" s="65">
        <f>+T307*'Reg Proy Inmob'!$C229</f>
        <v>4452.6523803000009</v>
      </c>
      <c r="U312" s="65">
        <f>+U307*'Reg Proy Inmob'!$C229</f>
        <v>4452.6523803000009</v>
      </c>
      <c r="V312" s="65">
        <f>+V307*'Reg Proy Inmob'!$C229</f>
        <v>4452.6523803000009</v>
      </c>
      <c r="W312" s="65">
        <f>+W307*'Reg Proy Inmob'!$C229</f>
        <v>4452.6523803000009</v>
      </c>
      <c r="X312" s="65">
        <f>+X307*'Reg Proy Inmob'!$C229</f>
        <v>4452.6523803000009</v>
      </c>
      <c r="Y312" s="65">
        <f>+Y307*'Reg Proy Inmob'!$C229</f>
        <v>4452.6523803000009</v>
      </c>
      <c r="Z312" s="65">
        <f>+Z307*'Reg Proy Inmob'!$C229</f>
        <v>4452.6523803000009</v>
      </c>
      <c r="AA312" s="65">
        <f>+AA307*'Reg Proy Inmob'!$C229</f>
        <v>4452.6523803000009</v>
      </c>
    </row>
    <row r="313" spans="2:27" s="4" customFormat="1" ht="34" outlineLevel="3">
      <c r="B313" s="25" t="s">
        <v>56</v>
      </c>
      <c r="C313" s="72"/>
      <c r="G313" s="65">
        <f>+G307*'Reg Proy Inmob'!$C226</f>
        <v>0</v>
      </c>
      <c r="H313" s="65">
        <f>+H307*'Reg Proy Inmob'!$C226</f>
        <v>0</v>
      </c>
      <c r="I313" s="65">
        <f>+I307*'Reg Proy Inmob'!$C226</f>
        <v>34.75752903225807</v>
      </c>
      <c r="J313" s="65">
        <f>+J307*'Reg Proy Inmob'!$C226</f>
        <v>451.16299999999995</v>
      </c>
      <c r="K313" s="65">
        <f>+K307*'Reg Proy Inmob'!$C226</f>
        <v>530.78</v>
      </c>
      <c r="L313" s="65">
        <f>+L307*'Reg Proy Inmob'!$C226</f>
        <v>530.78</v>
      </c>
      <c r="M313" s="65">
        <f>+M307*'Reg Proy Inmob'!$C226</f>
        <v>530.78</v>
      </c>
      <c r="N313" s="65">
        <f>+N307*'Reg Proy Inmob'!$C226</f>
        <v>530.78</v>
      </c>
      <c r="O313" s="65">
        <f>+O307*'Reg Proy Inmob'!$C226</f>
        <v>530.78</v>
      </c>
      <c r="P313" s="65">
        <f>+P307*'Reg Proy Inmob'!$C226</f>
        <v>530.78</v>
      </c>
      <c r="Q313" s="65">
        <f>+Q307*'Reg Proy Inmob'!$C226</f>
        <v>530.78</v>
      </c>
      <c r="R313" s="65">
        <f>+R307*'Reg Proy Inmob'!$C226</f>
        <v>530.78</v>
      </c>
      <c r="S313" s="65">
        <f>+S307*'Reg Proy Inmob'!$C226</f>
        <v>530.78</v>
      </c>
      <c r="T313" s="65">
        <f>+T307*'Reg Proy Inmob'!$C226</f>
        <v>530.78</v>
      </c>
      <c r="U313" s="65">
        <f>+U307*'Reg Proy Inmob'!$C226</f>
        <v>530.78</v>
      </c>
      <c r="V313" s="65">
        <f>+V307*'Reg Proy Inmob'!$C226</f>
        <v>530.78</v>
      </c>
      <c r="W313" s="65">
        <f>+W307*'Reg Proy Inmob'!$C226</f>
        <v>530.78</v>
      </c>
      <c r="X313" s="65">
        <f>+X307*'Reg Proy Inmob'!$C226</f>
        <v>530.78</v>
      </c>
      <c r="Y313" s="65">
        <f>+Y307*'Reg Proy Inmob'!$C226</f>
        <v>530.78</v>
      </c>
      <c r="Z313" s="65">
        <f>+Z307*'Reg Proy Inmob'!$C226</f>
        <v>530.78</v>
      </c>
      <c r="AA313" s="65">
        <f>+AA307*'Reg Proy Inmob'!$C226</f>
        <v>530.78</v>
      </c>
    </row>
    <row r="314" spans="2:27" s="4" customFormat="1" ht="17" outlineLevel="2">
      <c r="B314" s="22" t="s">
        <v>59</v>
      </c>
      <c r="C314" s="24"/>
      <c r="G314" s="65">
        <f t="shared" ref="G314:L314" si="101">+G315+G316</f>
        <v>0</v>
      </c>
      <c r="H314" s="65">
        <f t="shared" si="101"/>
        <v>0</v>
      </c>
      <c r="I314" s="65">
        <f t="shared" si="101"/>
        <v>734.56162145190342</v>
      </c>
      <c r="J314" s="65">
        <f t="shared" si="101"/>
        <v>9534.8269582549983</v>
      </c>
      <c r="K314" s="65">
        <f t="shared" si="101"/>
        <v>11217.4434803</v>
      </c>
      <c r="L314" s="65">
        <f t="shared" si="101"/>
        <v>11217.4434803</v>
      </c>
      <c r="M314" s="65">
        <f t="shared" ref="M314:AA314" si="102">+M315+M316</f>
        <v>11217.4434803</v>
      </c>
      <c r="N314" s="65">
        <f t="shared" si="102"/>
        <v>11217.4434803</v>
      </c>
      <c r="O314" s="65">
        <f t="shared" si="102"/>
        <v>11217.4434803</v>
      </c>
      <c r="P314" s="65">
        <f t="shared" si="102"/>
        <v>11217.4434803</v>
      </c>
      <c r="Q314" s="65">
        <f t="shared" si="102"/>
        <v>11217.4434803</v>
      </c>
      <c r="R314" s="65">
        <f t="shared" si="102"/>
        <v>11217.4434803</v>
      </c>
      <c r="S314" s="65">
        <f t="shared" si="102"/>
        <v>11217.4434803</v>
      </c>
      <c r="T314" s="65">
        <f t="shared" si="102"/>
        <v>11217.4434803</v>
      </c>
      <c r="U314" s="65">
        <f t="shared" si="102"/>
        <v>11217.4434803</v>
      </c>
      <c r="V314" s="65">
        <f t="shared" si="102"/>
        <v>11217.4434803</v>
      </c>
      <c r="W314" s="65">
        <f t="shared" si="102"/>
        <v>11217.4434803</v>
      </c>
      <c r="X314" s="65">
        <f t="shared" si="102"/>
        <v>11217.4434803</v>
      </c>
      <c r="Y314" s="65">
        <f t="shared" si="102"/>
        <v>11217.4434803</v>
      </c>
      <c r="Z314" s="65">
        <f t="shared" si="102"/>
        <v>11217.4434803</v>
      </c>
      <c r="AA314" s="65">
        <f t="shared" si="102"/>
        <v>11217.4434803</v>
      </c>
    </row>
    <row r="315" spans="2:27" s="4" customFormat="1" ht="17" outlineLevel="3">
      <c r="B315" s="25" t="s">
        <v>6</v>
      </c>
      <c r="C315" s="72"/>
      <c r="G315" s="65">
        <f>+G307*'Reg Proy Inmob'!$C228</f>
        <v>0</v>
      </c>
      <c r="H315" s="65">
        <f>+H307*'Reg Proy Inmob'!$C228</f>
        <v>0</v>
      </c>
      <c r="I315" s="65">
        <f>+I307*'Reg Proy Inmob'!$C228</f>
        <v>503.81038332258072</v>
      </c>
      <c r="J315" s="65">
        <f>+J307*'Reg Proy Inmob'!$C228</f>
        <v>6539.607684999999</v>
      </c>
      <c r="K315" s="65">
        <f>+K307*'Reg Proy Inmob'!$C228</f>
        <v>7693.6561000000002</v>
      </c>
      <c r="L315" s="65">
        <f>+L307*'Reg Proy Inmob'!$C228</f>
        <v>7693.6561000000002</v>
      </c>
      <c r="M315" s="65">
        <f>+M307*'Reg Proy Inmob'!$C228</f>
        <v>7693.6561000000002</v>
      </c>
      <c r="N315" s="65">
        <f>+N307*'Reg Proy Inmob'!$C228</f>
        <v>7693.6561000000002</v>
      </c>
      <c r="O315" s="65">
        <f>+O307*'Reg Proy Inmob'!$C228</f>
        <v>7693.6561000000002</v>
      </c>
      <c r="P315" s="65">
        <f>+P307*'Reg Proy Inmob'!$C228</f>
        <v>7693.6561000000002</v>
      </c>
      <c r="Q315" s="65">
        <f>+Q307*'Reg Proy Inmob'!$C228</f>
        <v>7693.6561000000002</v>
      </c>
      <c r="R315" s="65">
        <f>+R307*'Reg Proy Inmob'!$C228</f>
        <v>7693.6561000000002</v>
      </c>
      <c r="S315" s="65">
        <f>+S307*'Reg Proy Inmob'!$C228</f>
        <v>7693.6561000000002</v>
      </c>
      <c r="T315" s="65">
        <f>+T307*'Reg Proy Inmob'!$C228</f>
        <v>7693.6561000000002</v>
      </c>
      <c r="U315" s="65">
        <f>+U307*'Reg Proy Inmob'!$C228</f>
        <v>7693.6561000000002</v>
      </c>
      <c r="V315" s="65">
        <f>+V307*'Reg Proy Inmob'!$C228</f>
        <v>7693.6561000000002</v>
      </c>
      <c r="W315" s="65">
        <f>+W307*'Reg Proy Inmob'!$C228</f>
        <v>7693.6561000000002</v>
      </c>
      <c r="X315" s="65">
        <f>+X307*'Reg Proy Inmob'!$C228</f>
        <v>7693.6561000000002</v>
      </c>
      <c r="Y315" s="65">
        <f>+Y307*'Reg Proy Inmob'!$C228</f>
        <v>7693.6561000000002</v>
      </c>
      <c r="Z315" s="65">
        <f>+Z307*'Reg Proy Inmob'!$C228</f>
        <v>7693.6561000000002</v>
      </c>
      <c r="AA315" s="65">
        <f>+AA307*'Reg Proy Inmob'!$C228</f>
        <v>7693.6561000000002</v>
      </c>
    </row>
    <row r="316" spans="2:27" s="4" customFormat="1" ht="17" outlineLevel="3">
      <c r="B316" s="25" t="s">
        <v>222</v>
      </c>
      <c r="C316" s="72"/>
      <c r="G316" s="65">
        <f>+G307*'Reg Proy Inmob'!$C230</f>
        <v>0</v>
      </c>
      <c r="H316" s="65">
        <f>+H307*'Reg Proy Inmob'!$C230</f>
        <v>0</v>
      </c>
      <c r="I316" s="65">
        <f>+I307*'Reg Proy Inmob'!$C230</f>
        <v>230.75123812932267</v>
      </c>
      <c r="J316" s="65">
        <f>+J307*'Reg Proy Inmob'!$C230</f>
        <v>2995.2192732550002</v>
      </c>
      <c r="K316" s="65">
        <f>+K307*'Reg Proy Inmob'!$C230</f>
        <v>3523.7873803000007</v>
      </c>
      <c r="L316" s="65">
        <f>+L307*'Reg Proy Inmob'!$C230</f>
        <v>3523.7873803000007</v>
      </c>
      <c r="M316" s="65">
        <f>+M307*'Reg Proy Inmob'!$C230</f>
        <v>3523.7873803000007</v>
      </c>
      <c r="N316" s="65">
        <f>+N307*'Reg Proy Inmob'!$C230</f>
        <v>3523.7873803000007</v>
      </c>
      <c r="O316" s="65">
        <f>+O307*'Reg Proy Inmob'!$C230</f>
        <v>3523.7873803000007</v>
      </c>
      <c r="P316" s="65">
        <f>+P307*'Reg Proy Inmob'!$C230</f>
        <v>3523.7873803000007</v>
      </c>
      <c r="Q316" s="65">
        <f>+Q307*'Reg Proy Inmob'!$C230</f>
        <v>3523.7873803000007</v>
      </c>
      <c r="R316" s="65">
        <f>+R307*'Reg Proy Inmob'!$C230</f>
        <v>3523.7873803000007</v>
      </c>
      <c r="S316" s="65">
        <f>+S307*'Reg Proy Inmob'!$C230</f>
        <v>3523.7873803000007</v>
      </c>
      <c r="T316" s="65">
        <f>+T307*'Reg Proy Inmob'!$C230</f>
        <v>3523.7873803000007</v>
      </c>
      <c r="U316" s="65">
        <f>+U307*'Reg Proy Inmob'!$C230</f>
        <v>3523.7873803000007</v>
      </c>
      <c r="V316" s="65">
        <f>+V307*'Reg Proy Inmob'!$C230</f>
        <v>3523.7873803000007</v>
      </c>
      <c r="W316" s="65">
        <f>+W307*'Reg Proy Inmob'!$C230</f>
        <v>3523.7873803000007</v>
      </c>
      <c r="X316" s="65">
        <f>+X307*'Reg Proy Inmob'!$C230</f>
        <v>3523.7873803000007</v>
      </c>
      <c r="Y316" s="65">
        <f>+Y307*'Reg Proy Inmob'!$C230</f>
        <v>3523.7873803000007</v>
      </c>
      <c r="Z316" s="65">
        <f>+Z307*'Reg Proy Inmob'!$C230</f>
        <v>3523.7873803000007</v>
      </c>
      <c r="AA316" s="65">
        <f>+AA307*'Reg Proy Inmob'!$C230</f>
        <v>3523.7873803000007</v>
      </c>
    </row>
    <row r="317" spans="2:27" s="4" customFormat="1" ht="17" outlineLevel="2">
      <c r="B317" s="22" t="s">
        <v>60</v>
      </c>
      <c r="C317" s="24"/>
      <c r="G317" s="65">
        <f t="shared" ref="G317:M317" si="103">-G318+G319+G320+G321+G322+G323+G324+G325</f>
        <v>0</v>
      </c>
      <c r="H317" s="65">
        <f t="shared" si="103"/>
        <v>0</v>
      </c>
      <c r="I317" s="65">
        <f t="shared" si="103"/>
        <v>0</v>
      </c>
      <c r="J317" s="65">
        <f t="shared" si="103"/>
        <v>0</v>
      </c>
      <c r="K317" s="65">
        <f t="shared" si="103"/>
        <v>1575.1321123999996</v>
      </c>
      <c r="L317" s="65">
        <f t="shared" si="103"/>
        <v>530.78</v>
      </c>
      <c r="M317" s="65">
        <f t="shared" si="103"/>
        <v>0</v>
      </c>
      <c r="N317" s="65">
        <f>-N318+N319+N320+N321+N322+N323+N324+N325</f>
        <v>0</v>
      </c>
      <c r="O317" s="65">
        <f t="shared" ref="O317:AA317" si="104">-O318+O319+O320+O321+O322+O323+O324+O325</f>
        <v>0</v>
      </c>
      <c r="P317" s="65">
        <f t="shared" si="104"/>
        <v>0</v>
      </c>
      <c r="Q317" s="65">
        <f t="shared" si="104"/>
        <v>0</v>
      </c>
      <c r="R317" s="65">
        <f t="shared" si="104"/>
        <v>0</v>
      </c>
      <c r="S317" s="65">
        <f t="shared" si="104"/>
        <v>0</v>
      </c>
      <c r="T317" s="65">
        <f t="shared" si="104"/>
        <v>0</v>
      </c>
      <c r="U317" s="65">
        <f t="shared" si="104"/>
        <v>0</v>
      </c>
      <c r="V317" s="65">
        <f t="shared" si="104"/>
        <v>0</v>
      </c>
      <c r="W317" s="65">
        <f t="shared" si="104"/>
        <v>0</v>
      </c>
      <c r="X317" s="65">
        <f t="shared" si="104"/>
        <v>0</v>
      </c>
      <c r="Y317" s="65">
        <f t="shared" si="104"/>
        <v>0</v>
      </c>
      <c r="Z317" s="65">
        <f t="shared" si="104"/>
        <v>0</v>
      </c>
      <c r="AA317" s="65">
        <f t="shared" si="104"/>
        <v>0</v>
      </c>
    </row>
    <row r="318" spans="2:27" outlineLevel="3">
      <c r="B318" s="21" t="s">
        <v>51</v>
      </c>
      <c r="C318" s="20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pans="2:27" outlineLevel="3">
      <c r="B319" s="21" t="s">
        <v>52</v>
      </c>
      <c r="C319" s="20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pans="2:27" ht="51" outlineLevel="3">
      <c r="B320" s="25" t="s">
        <v>54</v>
      </c>
      <c r="C320" s="20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pans="2:27" s="4" customFormat="1" ht="17" outlineLevel="3">
      <c r="B321" s="25" t="s">
        <v>61</v>
      </c>
      <c r="C321" s="24"/>
      <c r="G321" s="67"/>
      <c r="H321" s="67"/>
      <c r="I321" s="67"/>
      <c r="J321" s="67"/>
      <c r="K321" s="67">
        <f>+K312-K316</f>
        <v>928.86500000000024</v>
      </c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pans="2:27" s="4" customFormat="1" ht="17" outlineLevel="3">
      <c r="B322" s="25" t="s">
        <v>62</v>
      </c>
      <c r="C322" s="24"/>
      <c r="G322" s="67"/>
      <c r="H322" s="67"/>
      <c r="I322" s="67"/>
      <c r="J322" s="67"/>
      <c r="K322" s="67">
        <f>+K309</f>
        <v>76.936560999999998</v>
      </c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pans="2:27" s="4" customFormat="1" ht="17" outlineLevel="3">
      <c r="B323" s="25" t="s">
        <v>63</v>
      </c>
      <c r="C323" s="24"/>
      <c r="G323" s="67"/>
      <c r="H323" s="67"/>
      <c r="I323" s="67"/>
      <c r="J323" s="67"/>
      <c r="K323" s="67">
        <f>+K310</f>
        <v>30.7746244</v>
      </c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pans="2:27" s="4" customFormat="1" ht="17" outlineLevel="3">
      <c r="B324" s="25" t="s">
        <v>64</v>
      </c>
      <c r="C324" s="24"/>
      <c r="G324" s="67"/>
      <c r="H324" s="67"/>
      <c r="I324" s="67"/>
      <c r="J324" s="67"/>
      <c r="K324" s="67">
        <f>+K311-K315</f>
        <v>538.55592699999943</v>
      </c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pans="2:27" s="4" customFormat="1" ht="34" outlineLevel="3">
      <c r="B325" s="25" t="s">
        <v>65</v>
      </c>
      <c r="C325" s="24"/>
      <c r="G325" s="67"/>
      <c r="H325" s="67"/>
      <c r="I325" s="67"/>
      <c r="J325" s="67"/>
      <c r="K325" s="67"/>
      <c r="L325" s="67">
        <f>+L313</f>
        <v>530.78</v>
      </c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pans="2:27" s="4" customFormat="1" ht="34" outlineLevel="2">
      <c r="B326" s="25" t="s">
        <v>357</v>
      </c>
      <c r="C326" s="24"/>
      <c r="G326" s="209">
        <f>+(G302-F302)*Proyecciones!$D$64*'Reg Proy Inmob'!$F$216</f>
        <v>0</v>
      </c>
      <c r="H326" s="209">
        <f>+(H302-G302)*Proyecciones!$D$64*'Reg Proy Inmob'!$F$216</f>
        <v>0</v>
      </c>
      <c r="I326" s="209">
        <f>+(I302-H302)*Proyecciones!$D$64*'Reg Proy Inmob'!$F$216</f>
        <v>0</v>
      </c>
      <c r="J326" s="209">
        <f>+(J302-I302)*Proyecciones!$D$64*'Reg Proy Inmob'!$F$216</f>
        <v>0</v>
      </c>
      <c r="K326" s="209">
        <f>+(K302-J302)*Proyecciones!$D$64*'Reg Proy Inmob'!$F$216</f>
        <v>8625.1750000000011</v>
      </c>
      <c r="L326" s="209">
        <f>+(L302-K302)*Proyecciones!$D$64*'Reg Proy Inmob'!$F$216</f>
        <v>0</v>
      </c>
      <c r="M326" s="209">
        <f>+(M302-L302)*Proyecciones!$D$64*'Reg Proy Inmob'!$F$216</f>
        <v>0</v>
      </c>
      <c r="N326" s="209">
        <f>+(N302-M302)*Proyecciones!$D$64*'Reg Proy Inmob'!$F$216</f>
        <v>0</v>
      </c>
      <c r="O326" s="209">
        <f>+(O302-N302)*Proyecciones!$D$64*'Reg Proy Inmob'!$F$216</f>
        <v>0</v>
      </c>
      <c r="P326" s="209">
        <f>+(P302-O302)*Proyecciones!$D$64*'Reg Proy Inmob'!$F$216</f>
        <v>0</v>
      </c>
      <c r="Q326" s="209">
        <f>+(Q302-P302)*Proyecciones!$D$64*'Reg Proy Inmob'!$F$216</f>
        <v>0</v>
      </c>
      <c r="R326" s="209">
        <f>+(R302-Q302)*Proyecciones!$D$64*'Reg Proy Inmob'!$F$216</f>
        <v>0</v>
      </c>
      <c r="S326" s="209">
        <f>+(S302-R302)*Proyecciones!$D$64*'Reg Proy Inmob'!$F$216</f>
        <v>0</v>
      </c>
      <c r="T326" s="209"/>
      <c r="U326" s="209"/>
      <c r="V326" s="209"/>
      <c r="W326" s="209"/>
      <c r="X326" s="209"/>
      <c r="Y326" s="209"/>
      <c r="Z326" s="209"/>
      <c r="AA326" s="209"/>
    </row>
    <row r="327" spans="2:27" outlineLevel="1">
      <c r="B327" s="18" t="s">
        <v>242</v>
      </c>
      <c r="C327" s="20"/>
      <c r="D327" t="s">
        <v>352</v>
      </c>
    </row>
    <row r="328" spans="2:27" outlineLevel="2">
      <c r="B328" s="19" t="s">
        <v>220</v>
      </c>
      <c r="C328" s="20"/>
    </row>
    <row r="329" spans="2:27" ht="34" outlineLevel="3">
      <c r="B329" s="25" t="s">
        <v>58</v>
      </c>
      <c r="C329" s="20"/>
      <c r="F329" s="60"/>
      <c r="G329" s="60"/>
      <c r="H329" s="60"/>
      <c r="I329" s="60"/>
      <c r="J329" s="60">
        <v>44</v>
      </c>
      <c r="K329" s="60">
        <v>62</v>
      </c>
      <c r="L329" s="60">
        <v>62</v>
      </c>
      <c r="M329" s="60">
        <f>+L329</f>
        <v>62</v>
      </c>
      <c r="N329" s="60">
        <f t="shared" ref="N329:AA329" si="105">+M329</f>
        <v>62</v>
      </c>
      <c r="O329" s="60">
        <f t="shared" si="105"/>
        <v>62</v>
      </c>
      <c r="P329" s="60">
        <f t="shared" si="105"/>
        <v>62</v>
      </c>
      <c r="Q329" s="60">
        <f t="shared" si="105"/>
        <v>62</v>
      </c>
      <c r="R329" s="60">
        <f t="shared" si="105"/>
        <v>62</v>
      </c>
      <c r="S329" s="60">
        <f t="shared" si="105"/>
        <v>62</v>
      </c>
      <c r="T329" s="60">
        <f t="shared" si="105"/>
        <v>62</v>
      </c>
      <c r="U329" s="60">
        <f t="shared" si="105"/>
        <v>62</v>
      </c>
      <c r="V329" s="60">
        <f t="shared" si="105"/>
        <v>62</v>
      </c>
      <c r="W329" s="60">
        <f t="shared" si="105"/>
        <v>62</v>
      </c>
      <c r="X329" s="60">
        <f t="shared" si="105"/>
        <v>62</v>
      </c>
      <c r="Y329" s="60">
        <f t="shared" si="105"/>
        <v>62</v>
      </c>
      <c r="Z329" s="60">
        <f t="shared" si="105"/>
        <v>62</v>
      </c>
      <c r="AA329" s="60">
        <f t="shared" si="105"/>
        <v>62</v>
      </c>
    </row>
    <row r="330" spans="2:27" ht="17" outlineLevel="3">
      <c r="B330" s="25" t="s">
        <v>66</v>
      </c>
      <c r="C330" s="20"/>
      <c r="F330" s="61"/>
      <c r="G330" s="61"/>
      <c r="H330" s="61"/>
      <c r="I330" s="61"/>
      <c r="J330" s="61">
        <f>+J329*J331</f>
        <v>19384.129032258064</v>
      </c>
      <c r="K330" s="61">
        <f>+K329*K331</f>
        <v>27314</v>
      </c>
      <c r="L330" s="61">
        <v>27314</v>
      </c>
      <c r="M330" s="61">
        <f>+L330</f>
        <v>27314</v>
      </c>
      <c r="N330" s="61">
        <f t="shared" ref="N330:AA330" si="106">+M330</f>
        <v>27314</v>
      </c>
      <c r="O330" s="61">
        <f t="shared" si="106"/>
        <v>27314</v>
      </c>
      <c r="P330" s="61">
        <f t="shared" si="106"/>
        <v>27314</v>
      </c>
      <c r="Q330" s="61">
        <f t="shared" si="106"/>
        <v>27314</v>
      </c>
      <c r="R330" s="61">
        <f t="shared" si="106"/>
        <v>27314</v>
      </c>
      <c r="S330" s="61">
        <f t="shared" si="106"/>
        <v>27314</v>
      </c>
      <c r="T330" s="61">
        <f t="shared" si="106"/>
        <v>27314</v>
      </c>
      <c r="U330" s="61">
        <f t="shared" si="106"/>
        <v>27314</v>
      </c>
      <c r="V330" s="61">
        <f t="shared" si="106"/>
        <v>27314</v>
      </c>
      <c r="W330" s="61">
        <f t="shared" si="106"/>
        <v>27314</v>
      </c>
      <c r="X330" s="61">
        <f t="shared" si="106"/>
        <v>27314</v>
      </c>
      <c r="Y330" s="61">
        <f t="shared" si="106"/>
        <v>27314</v>
      </c>
      <c r="Z330" s="61">
        <f t="shared" si="106"/>
        <v>27314</v>
      </c>
      <c r="AA330" s="61">
        <f t="shared" si="106"/>
        <v>27314</v>
      </c>
    </row>
    <row r="331" spans="2:27" ht="17" outlineLevel="3">
      <c r="B331" s="25" t="s">
        <v>67</v>
      </c>
      <c r="C331" s="20"/>
      <c r="F331" s="73">
        <f t="shared" ref="F331:M331" si="107">+IF(ISERROR(F330/F329),0,F330/F329)</f>
        <v>0</v>
      </c>
      <c r="G331" s="73">
        <f t="shared" si="107"/>
        <v>0</v>
      </c>
      <c r="H331" s="73">
        <f t="shared" si="107"/>
        <v>0</v>
      </c>
      <c r="I331" s="73">
        <f t="shared" si="107"/>
        <v>0</v>
      </c>
      <c r="J331" s="73">
        <f>+K331</f>
        <v>440.54838709677421</v>
      </c>
      <c r="K331" s="73">
        <f>+L331</f>
        <v>440.54838709677421</v>
      </c>
      <c r="L331" s="73">
        <f t="shared" si="107"/>
        <v>440.54838709677421</v>
      </c>
      <c r="M331" s="73">
        <f t="shared" si="107"/>
        <v>440.54838709677421</v>
      </c>
      <c r="N331" s="73">
        <f t="shared" ref="N331:AA331" si="108">+IF(ISERROR(N330/N329),0,N330/N329)</f>
        <v>440.54838709677421</v>
      </c>
      <c r="O331" s="73">
        <f t="shared" si="108"/>
        <v>440.54838709677421</v>
      </c>
      <c r="P331" s="73">
        <f t="shared" si="108"/>
        <v>440.54838709677421</v>
      </c>
      <c r="Q331" s="73">
        <f t="shared" si="108"/>
        <v>440.54838709677421</v>
      </c>
      <c r="R331" s="73">
        <f t="shared" si="108"/>
        <v>440.54838709677421</v>
      </c>
      <c r="S331" s="73">
        <f t="shared" si="108"/>
        <v>440.54838709677421</v>
      </c>
      <c r="T331" s="73">
        <f t="shared" si="108"/>
        <v>440.54838709677421</v>
      </c>
      <c r="U331" s="73">
        <f t="shared" si="108"/>
        <v>440.54838709677421</v>
      </c>
      <c r="V331" s="73">
        <f t="shared" si="108"/>
        <v>440.54838709677421</v>
      </c>
      <c r="W331" s="73">
        <f t="shared" si="108"/>
        <v>440.54838709677421</v>
      </c>
      <c r="X331" s="73">
        <f t="shared" si="108"/>
        <v>440.54838709677421</v>
      </c>
      <c r="Y331" s="73">
        <f t="shared" si="108"/>
        <v>440.54838709677421</v>
      </c>
      <c r="Z331" s="73">
        <f t="shared" si="108"/>
        <v>440.54838709677421</v>
      </c>
      <c r="AA331" s="73">
        <f t="shared" si="108"/>
        <v>440.54838709677421</v>
      </c>
    </row>
    <row r="332" spans="2:27" ht="17" outlineLevel="2">
      <c r="B332" s="22" t="s">
        <v>216</v>
      </c>
      <c r="C332" s="20"/>
      <c r="G332" s="26"/>
      <c r="H332" s="26"/>
    </row>
    <row r="333" spans="2:27" ht="34" outlineLevel="3">
      <c r="B333" s="25" t="s">
        <v>217</v>
      </c>
      <c r="C333" s="20"/>
      <c r="G333" s="69"/>
      <c r="H333" s="69"/>
      <c r="I333" s="66"/>
      <c r="J333" s="66"/>
      <c r="K333" s="66"/>
      <c r="L333" s="66">
        <v>62</v>
      </c>
      <c r="M333" s="66">
        <v>62</v>
      </c>
      <c r="N333" s="66">
        <v>62</v>
      </c>
      <c r="O333" s="66">
        <v>62</v>
      </c>
      <c r="P333" s="66">
        <v>62</v>
      </c>
      <c r="Q333" s="66">
        <v>62</v>
      </c>
      <c r="R333" s="66">
        <v>62</v>
      </c>
      <c r="S333" s="66">
        <v>62</v>
      </c>
      <c r="T333" s="66">
        <v>62</v>
      </c>
      <c r="U333" s="66">
        <v>62</v>
      </c>
      <c r="V333" s="66">
        <v>62</v>
      </c>
      <c r="W333" s="66">
        <v>62</v>
      </c>
      <c r="X333" s="66">
        <v>62</v>
      </c>
      <c r="Y333" s="66">
        <v>62</v>
      </c>
      <c r="Z333" s="66">
        <v>62</v>
      </c>
      <c r="AA333" s="66">
        <v>62</v>
      </c>
    </row>
    <row r="334" spans="2:27" ht="34" outlineLevel="3">
      <c r="B334" s="25" t="s">
        <v>218</v>
      </c>
      <c r="C334" s="20"/>
      <c r="G334" s="69"/>
      <c r="H334" s="69"/>
      <c r="I334" s="66"/>
      <c r="J334" s="66"/>
      <c r="K334" s="66"/>
      <c r="L334" s="66">
        <f>+L330</f>
        <v>27314</v>
      </c>
      <c r="M334" s="66">
        <f>+M330</f>
        <v>27314</v>
      </c>
      <c r="N334" s="66">
        <f t="shared" ref="N334:AA334" si="109">+N330</f>
        <v>27314</v>
      </c>
      <c r="O334" s="66">
        <f t="shared" si="109"/>
        <v>27314</v>
      </c>
      <c r="P334" s="66">
        <f t="shared" si="109"/>
        <v>27314</v>
      </c>
      <c r="Q334" s="66">
        <f t="shared" si="109"/>
        <v>27314</v>
      </c>
      <c r="R334" s="66">
        <f t="shared" si="109"/>
        <v>27314</v>
      </c>
      <c r="S334" s="66">
        <f t="shared" si="109"/>
        <v>27314</v>
      </c>
      <c r="T334" s="66">
        <f t="shared" si="109"/>
        <v>27314</v>
      </c>
      <c r="U334" s="66">
        <f t="shared" si="109"/>
        <v>27314</v>
      </c>
      <c r="V334" s="66">
        <f t="shared" si="109"/>
        <v>27314</v>
      </c>
      <c r="W334" s="66">
        <f t="shared" si="109"/>
        <v>27314</v>
      </c>
      <c r="X334" s="66">
        <f t="shared" si="109"/>
        <v>27314</v>
      </c>
      <c r="Y334" s="66">
        <f t="shared" si="109"/>
        <v>27314</v>
      </c>
      <c r="Z334" s="66">
        <f t="shared" si="109"/>
        <v>27314</v>
      </c>
      <c r="AA334" s="66">
        <f t="shared" si="109"/>
        <v>27314</v>
      </c>
    </row>
    <row r="335" spans="2:27" ht="17" outlineLevel="3">
      <c r="B335" s="25" t="s">
        <v>219</v>
      </c>
      <c r="C335" s="20"/>
      <c r="G335" s="26">
        <f t="shared" ref="G335:M335" si="110">+IF(ISERROR(G334/G333),0,G334/G333)</f>
        <v>0</v>
      </c>
      <c r="H335" s="26">
        <f t="shared" si="110"/>
        <v>0</v>
      </c>
      <c r="I335" s="26">
        <f t="shared" si="110"/>
        <v>0</v>
      </c>
      <c r="J335" s="26">
        <f t="shared" si="110"/>
        <v>0</v>
      </c>
      <c r="K335" s="26">
        <f t="shared" si="110"/>
        <v>0</v>
      </c>
      <c r="L335" s="26">
        <f t="shared" si="110"/>
        <v>440.54838709677421</v>
      </c>
      <c r="M335" s="26">
        <f t="shared" si="110"/>
        <v>440.54838709677421</v>
      </c>
      <c r="N335" s="26">
        <f t="shared" ref="N335:AA335" si="111">+IF(ISERROR(N334/N333),0,N334/N333)</f>
        <v>440.54838709677421</v>
      </c>
      <c r="O335" s="26">
        <f t="shared" si="111"/>
        <v>440.54838709677421</v>
      </c>
      <c r="P335" s="26">
        <f t="shared" si="111"/>
        <v>440.54838709677421</v>
      </c>
      <c r="Q335" s="26">
        <f t="shared" si="111"/>
        <v>440.54838709677421</v>
      </c>
      <c r="R335" s="26">
        <f t="shared" si="111"/>
        <v>440.54838709677421</v>
      </c>
      <c r="S335" s="26">
        <f t="shared" si="111"/>
        <v>440.54838709677421</v>
      </c>
      <c r="T335" s="26">
        <f t="shared" si="111"/>
        <v>440.54838709677421</v>
      </c>
      <c r="U335" s="26">
        <f t="shared" si="111"/>
        <v>440.54838709677421</v>
      </c>
      <c r="V335" s="26">
        <f t="shared" si="111"/>
        <v>440.54838709677421</v>
      </c>
      <c r="W335" s="26">
        <f t="shared" si="111"/>
        <v>440.54838709677421</v>
      </c>
      <c r="X335" s="26">
        <f t="shared" si="111"/>
        <v>440.54838709677421</v>
      </c>
      <c r="Y335" s="26">
        <f t="shared" si="111"/>
        <v>440.54838709677421</v>
      </c>
      <c r="Z335" s="26">
        <f t="shared" si="111"/>
        <v>440.54838709677421</v>
      </c>
      <c r="AA335" s="26">
        <f t="shared" si="111"/>
        <v>440.54838709677421</v>
      </c>
    </row>
    <row r="336" spans="2:27" ht="17" outlineLevel="2">
      <c r="B336" s="22" t="s">
        <v>68</v>
      </c>
      <c r="C336" s="20"/>
    </row>
    <row r="337" spans="2:27" ht="34" outlineLevel="2">
      <c r="B337" s="22" t="s">
        <v>221</v>
      </c>
      <c r="C337" s="20" t="s">
        <v>53</v>
      </c>
      <c r="D337" s="1">
        <v>0.11</v>
      </c>
      <c r="F337">
        <v>0</v>
      </c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</row>
    <row r="338" spans="2:27" outlineLevel="2">
      <c r="B338" s="19" t="s">
        <v>55</v>
      </c>
      <c r="C338" s="20"/>
      <c r="F338" s="70"/>
      <c r="G338" s="70"/>
      <c r="H338" s="70"/>
      <c r="I338" s="70"/>
      <c r="J338" s="70"/>
      <c r="K338" s="70">
        <v>0.6</v>
      </c>
      <c r="L338" s="70">
        <v>1</v>
      </c>
      <c r="M338" s="70">
        <v>1</v>
      </c>
      <c r="N338" s="70">
        <v>1</v>
      </c>
      <c r="O338" s="70">
        <v>1</v>
      </c>
      <c r="P338" s="70">
        <v>1</v>
      </c>
      <c r="Q338" s="70">
        <v>1</v>
      </c>
      <c r="R338" s="70">
        <v>1</v>
      </c>
      <c r="S338" s="70">
        <v>1</v>
      </c>
      <c r="T338" s="70">
        <v>1</v>
      </c>
      <c r="U338" s="70">
        <v>1</v>
      </c>
      <c r="V338" s="70">
        <v>1</v>
      </c>
      <c r="W338" s="70">
        <v>1</v>
      </c>
      <c r="X338" s="70">
        <v>1</v>
      </c>
      <c r="Y338" s="70">
        <v>1</v>
      </c>
      <c r="Z338" s="70">
        <v>1</v>
      </c>
      <c r="AA338" s="70">
        <v>1</v>
      </c>
    </row>
    <row r="339" spans="2:27" outlineLevel="2">
      <c r="B339" s="19" t="s">
        <v>224</v>
      </c>
      <c r="C339" s="20"/>
      <c r="F339" s="13"/>
      <c r="G339" s="64">
        <f t="shared" ref="G339:L339" si="112">+G338*G330</f>
        <v>0</v>
      </c>
      <c r="H339" s="64">
        <f t="shared" si="112"/>
        <v>0</v>
      </c>
      <c r="I339" s="64">
        <f t="shared" si="112"/>
        <v>0</v>
      </c>
      <c r="J339" s="64">
        <f t="shared" si="112"/>
        <v>0</v>
      </c>
      <c r="K339" s="64">
        <f t="shared" si="112"/>
        <v>16388.399999999998</v>
      </c>
      <c r="L339" s="64">
        <f t="shared" si="112"/>
        <v>27314</v>
      </c>
      <c r="M339" s="64">
        <f t="shared" ref="M339:T339" si="113">+M338*M330</f>
        <v>27314</v>
      </c>
      <c r="N339" s="64">
        <f t="shared" si="113"/>
        <v>27314</v>
      </c>
      <c r="O339" s="64">
        <f t="shared" si="113"/>
        <v>27314</v>
      </c>
      <c r="P339" s="64">
        <f t="shared" si="113"/>
        <v>27314</v>
      </c>
      <c r="Q339" s="64">
        <f t="shared" si="113"/>
        <v>27314</v>
      </c>
      <c r="R339" s="64">
        <f t="shared" si="113"/>
        <v>27314</v>
      </c>
      <c r="S339" s="64">
        <f t="shared" si="113"/>
        <v>27314</v>
      </c>
      <c r="T339" s="64">
        <f t="shared" si="113"/>
        <v>27314</v>
      </c>
      <c r="U339" s="64">
        <f t="shared" ref="U339:AA339" si="114">+U338*U330</f>
        <v>27314</v>
      </c>
      <c r="V339" s="64">
        <f t="shared" si="114"/>
        <v>27314</v>
      </c>
      <c r="W339" s="64">
        <f t="shared" si="114"/>
        <v>27314</v>
      </c>
      <c r="X339" s="64">
        <f t="shared" si="114"/>
        <v>27314</v>
      </c>
      <c r="Y339" s="64">
        <f t="shared" si="114"/>
        <v>27314</v>
      </c>
      <c r="Z339" s="64">
        <f t="shared" si="114"/>
        <v>27314</v>
      </c>
      <c r="AA339" s="64">
        <f t="shared" si="114"/>
        <v>27314</v>
      </c>
    </row>
    <row r="340" spans="2:27" outlineLevel="2">
      <c r="B340" s="19" t="s">
        <v>225</v>
      </c>
      <c r="C340" s="20"/>
      <c r="G340" s="65">
        <f t="shared" ref="G340:L340" si="115">+G341+G342+G343+G344+G345</f>
        <v>0</v>
      </c>
      <c r="H340" s="65">
        <f t="shared" si="115"/>
        <v>0</v>
      </c>
      <c r="I340" s="65">
        <f t="shared" si="115"/>
        <v>0</v>
      </c>
      <c r="J340" s="65">
        <f t="shared" si="115"/>
        <v>0</v>
      </c>
      <c r="K340" s="65">
        <f t="shared" si="115"/>
        <v>8227.4569801199996</v>
      </c>
      <c r="L340" s="65">
        <f t="shared" si="115"/>
        <v>13712.428300200001</v>
      </c>
      <c r="M340" s="65">
        <f t="shared" ref="M340:T340" si="116">+M341+M342+M343+M344+M345</f>
        <v>13712.428300200001</v>
      </c>
      <c r="N340" s="65">
        <f t="shared" si="116"/>
        <v>13712.428300200001</v>
      </c>
      <c r="O340" s="65">
        <f t="shared" si="116"/>
        <v>13712.428300200001</v>
      </c>
      <c r="P340" s="65">
        <f t="shared" si="116"/>
        <v>13712.428300200001</v>
      </c>
      <c r="Q340" s="65">
        <f t="shared" si="116"/>
        <v>13712.428300200001</v>
      </c>
      <c r="R340" s="65">
        <f t="shared" si="116"/>
        <v>13712.428300200001</v>
      </c>
      <c r="S340" s="65">
        <f t="shared" si="116"/>
        <v>13712.428300200001</v>
      </c>
      <c r="T340" s="65">
        <f t="shared" si="116"/>
        <v>13712.428300200001</v>
      </c>
      <c r="U340" s="65">
        <f t="shared" ref="U340:AA340" si="117">+U341+U342+U343+U344+U345</f>
        <v>13712.428300200001</v>
      </c>
      <c r="V340" s="65">
        <f t="shared" si="117"/>
        <v>13712.428300200001</v>
      </c>
      <c r="W340" s="65">
        <f t="shared" si="117"/>
        <v>13712.428300200001</v>
      </c>
      <c r="X340" s="65">
        <f t="shared" si="117"/>
        <v>13712.428300200001</v>
      </c>
      <c r="Y340" s="65">
        <f t="shared" si="117"/>
        <v>13712.428300200001</v>
      </c>
      <c r="Z340" s="65">
        <f t="shared" si="117"/>
        <v>13712.428300200001</v>
      </c>
      <c r="AA340" s="65">
        <f t="shared" si="117"/>
        <v>13712.428300200001</v>
      </c>
    </row>
    <row r="341" spans="2:27" s="4" customFormat="1" outlineLevel="3">
      <c r="B341" s="21" t="s">
        <v>7</v>
      </c>
      <c r="C341" s="21"/>
      <c r="D341" s="23"/>
      <c r="G341" s="65">
        <f>+G339*'Reg Proy Inmob'!$C249</f>
        <v>0</v>
      </c>
      <c r="H341" s="65">
        <f>+H339*'Reg Proy Inmob'!$C249</f>
        <v>0</v>
      </c>
      <c r="I341" s="65">
        <f>+I339*'Reg Proy Inmob'!$C249</f>
        <v>0</v>
      </c>
      <c r="J341" s="65">
        <f>+J339*'Reg Proy Inmob'!$C249</f>
        <v>0</v>
      </c>
      <c r="K341" s="65">
        <f>+K339*'Reg Proy Inmob'!$C249</f>
        <v>47.509971599999993</v>
      </c>
      <c r="L341" s="65">
        <f>+L339*'Reg Proy Inmob'!$C249</f>
        <v>79.18328600000001</v>
      </c>
      <c r="M341" s="65">
        <f>+M339*'Reg Proy Inmob'!$C249</f>
        <v>79.18328600000001</v>
      </c>
      <c r="N341" s="65">
        <f>+N339*'Reg Proy Inmob'!$C249</f>
        <v>79.18328600000001</v>
      </c>
      <c r="O341" s="65">
        <f>+O339*'Reg Proy Inmob'!$C249</f>
        <v>79.18328600000001</v>
      </c>
      <c r="P341" s="65">
        <f>+P339*'Reg Proy Inmob'!$C249</f>
        <v>79.18328600000001</v>
      </c>
      <c r="Q341" s="65">
        <f>+Q339*'Reg Proy Inmob'!$C249</f>
        <v>79.18328600000001</v>
      </c>
      <c r="R341" s="65">
        <f>+R339*'Reg Proy Inmob'!$C249</f>
        <v>79.18328600000001</v>
      </c>
      <c r="S341" s="65">
        <f>+S339*'Reg Proy Inmob'!$C249</f>
        <v>79.18328600000001</v>
      </c>
      <c r="T341" s="65">
        <f>+T339*'Reg Proy Inmob'!$C249</f>
        <v>79.18328600000001</v>
      </c>
      <c r="U341" s="65">
        <f>+U339*'Reg Proy Inmob'!$C249</f>
        <v>79.18328600000001</v>
      </c>
      <c r="V341" s="65">
        <f>+V339*'Reg Proy Inmob'!$C249</f>
        <v>79.18328600000001</v>
      </c>
      <c r="W341" s="65">
        <f>+W339*'Reg Proy Inmob'!$C249</f>
        <v>79.18328600000001</v>
      </c>
      <c r="X341" s="65">
        <f>+X339*'Reg Proy Inmob'!$C249</f>
        <v>79.18328600000001</v>
      </c>
      <c r="Y341" s="65">
        <f>+Y339*'Reg Proy Inmob'!$C249</f>
        <v>79.18328600000001</v>
      </c>
      <c r="Z341" s="65">
        <f>+Z339*'Reg Proy Inmob'!$C249</f>
        <v>79.18328600000001</v>
      </c>
      <c r="AA341" s="65">
        <f>+AA339*'Reg Proy Inmob'!$C249</f>
        <v>79.18328600000001</v>
      </c>
    </row>
    <row r="342" spans="2:27" s="4" customFormat="1" outlineLevel="3">
      <c r="B342" s="21" t="s">
        <v>11</v>
      </c>
      <c r="C342" s="72"/>
      <c r="D342" s="23"/>
      <c r="G342" s="65">
        <f>+G339*'Reg Proy Inmob'!$C250</f>
        <v>0</v>
      </c>
      <c r="H342" s="65">
        <f>+H339*'Reg Proy Inmob'!$C250</f>
        <v>0</v>
      </c>
      <c r="I342" s="65">
        <f>+I339*'Reg Proy Inmob'!$C250</f>
        <v>0</v>
      </c>
      <c r="J342" s="65">
        <f>+J339*'Reg Proy Inmob'!$C250</f>
        <v>0</v>
      </c>
      <c r="K342" s="65">
        <f>+K339*'Reg Proy Inmob'!$C250</f>
        <v>19.003988639999996</v>
      </c>
      <c r="L342" s="65">
        <f>+L339*'Reg Proy Inmob'!$C250</f>
        <v>31.673314399999999</v>
      </c>
      <c r="M342" s="65">
        <f>+M339*'Reg Proy Inmob'!$C250</f>
        <v>31.673314399999999</v>
      </c>
      <c r="N342" s="65">
        <f>+N339*'Reg Proy Inmob'!$C250</f>
        <v>31.673314399999999</v>
      </c>
      <c r="O342" s="65">
        <f>+O339*'Reg Proy Inmob'!$C250</f>
        <v>31.673314399999999</v>
      </c>
      <c r="P342" s="65">
        <f>+P339*'Reg Proy Inmob'!$C250</f>
        <v>31.673314399999999</v>
      </c>
      <c r="Q342" s="65">
        <f>+Q339*'Reg Proy Inmob'!$C250</f>
        <v>31.673314399999999</v>
      </c>
      <c r="R342" s="65">
        <f>+R339*'Reg Proy Inmob'!$C250</f>
        <v>31.673314399999999</v>
      </c>
      <c r="S342" s="65">
        <f>+S339*'Reg Proy Inmob'!$C250</f>
        <v>31.673314399999999</v>
      </c>
      <c r="T342" s="65">
        <f>+T339*'Reg Proy Inmob'!$C250</f>
        <v>31.673314399999999</v>
      </c>
      <c r="U342" s="65">
        <f>+U339*'Reg Proy Inmob'!$C250</f>
        <v>31.673314399999999</v>
      </c>
      <c r="V342" s="65">
        <f>+V339*'Reg Proy Inmob'!$C250</f>
        <v>31.673314399999999</v>
      </c>
      <c r="W342" s="65">
        <f>+W339*'Reg Proy Inmob'!$C250</f>
        <v>31.673314399999999</v>
      </c>
      <c r="X342" s="65">
        <f>+X339*'Reg Proy Inmob'!$C250</f>
        <v>31.673314399999999</v>
      </c>
      <c r="Y342" s="65">
        <f>+Y339*'Reg Proy Inmob'!$C250</f>
        <v>31.673314399999999</v>
      </c>
      <c r="Z342" s="65">
        <f>+Z339*'Reg Proy Inmob'!$C250</f>
        <v>31.673314399999999</v>
      </c>
      <c r="AA342" s="65">
        <f>+AA339*'Reg Proy Inmob'!$C250</f>
        <v>31.673314399999999</v>
      </c>
    </row>
    <row r="343" spans="2:27" s="4" customFormat="1" outlineLevel="3">
      <c r="B343" s="21" t="s">
        <v>6</v>
      </c>
      <c r="C343" s="72"/>
      <c r="G343" s="65">
        <f>+G339*'Reg Proy Inmob'!$C252</f>
        <v>0</v>
      </c>
      <c r="H343" s="65">
        <f>+H339*'Reg Proy Inmob'!$C252</f>
        <v>0</v>
      </c>
      <c r="I343" s="65">
        <f>+I339*'Reg Proy Inmob'!$C252</f>
        <v>0</v>
      </c>
      <c r="J343" s="65">
        <f>+J339*'Reg Proy Inmob'!$C252</f>
        <v>0</v>
      </c>
      <c r="K343" s="65">
        <f>+K339*'Reg Proy Inmob'!$C252</f>
        <v>5083.5669611999992</v>
      </c>
      <c r="L343" s="65">
        <f>+L339*'Reg Proy Inmob'!$C252</f>
        <v>8472.611601999999</v>
      </c>
      <c r="M343" s="65">
        <f>+M339*'Reg Proy Inmob'!$C252</f>
        <v>8472.611601999999</v>
      </c>
      <c r="N343" s="65">
        <f>+N339*'Reg Proy Inmob'!$C252</f>
        <v>8472.611601999999</v>
      </c>
      <c r="O343" s="65">
        <f>+O339*'Reg Proy Inmob'!$C252</f>
        <v>8472.611601999999</v>
      </c>
      <c r="P343" s="65">
        <f>+P339*'Reg Proy Inmob'!$C252</f>
        <v>8472.611601999999</v>
      </c>
      <c r="Q343" s="65">
        <f>+Q339*'Reg Proy Inmob'!$C252</f>
        <v>8472.611601999999</v>
      </c>
      <c r="R343" s="65">
        <f>+R339*'Reg Proy Inmob'!$C252</f>
        <v>8472.611601999999</v>
      </c>
      <c r="S343" s="65">
        <f>+S339*'Reg Proy Inmob'!$C252</f>
        <v>8472.611601999999</v>
      </c>
      <c r="T343" s="65">
        <f>+T339*'Reg Proy Inmob'!$C252</f>
        <v>8472.611601999999</v>
      </c>
      <c r="U343" s="65">
        <f>+U339*'Reg Proy Inmob'!$C252</f>
        <v>8472.611601999999</v>
      </c>
      <c r="V343" s="65">
        <f>+V339*'Reg Proy Inmob'!$C252</f>
        <v>8472.611601999999</v>
      </c>
      <c r="W343" s="65">
        <f>+W339*'Reg Proy Inmob'!$C252</f>
        <v>8472.611601999999</v>
      </c>
      <c r="X343" s="65">
        <f>+X339*'Reg Proy Inmob'!$C252</f>
        <v>8472.611601999999</v>
      </c>
      <c r="Y343" s="65">
        <f>+Y339*'Reg Proy Inmob'!$C252</f>
        <v>8472.611601999999</v>
      </c>
      <c r="Z343" s="65">
        <f>+Z339*'Reg Proy Inmob'!$C252</f>
        <v>8472.611601999999</v>
      </c>
      <c r="AA343" s="65">
        <f>+AA339*'Reg Proy Inmob'!$C252</f>
        <v>8472.611601999999</v>
      </c>
    </row>
    <row r="344" spans="2:27" s="4" customFormat="1" outlineLevel="3">
      <c r="B344" s="21" t="s">
        <v>222</v>
      </c>
      <c r="C344" s="72"/>
      <c r="D344" s="23"/>
      <c r="G344" s="65">
        <f>+G339*'Reg Proy Inmob'!$C254</f>
        <v>0</v>
      </c>
      <c r="H344" s="65">
        <f>+H339*'Reg Proy Inmob'!$C254</f>
        <v>0</v>
      </c>
      <c r="I344" s="65">
        <f>+I339*'Reg Proy Inmob'!$C254</f>
        <v>0</v>
      </c>
      <c r="J344" s="65">
        <f>+J339*'Reg Proy Inmob'!$C254</f>
        <v>0</v>
      </c>
      <c r="K344" s="65">
        <f>+K339*'Reg Proy Inmob'!$C254</f>
        <v>2708.6370586799999</v>
      </c>
      <c r="L344" s="65">
        <f>+L339*'Reg Proy Inmob'!$C254</f>
        <v>4514.3950978000012</v>
      </c>
      <c r="M344" s="65">
        <f>+M339*'Reg Proy Inmob'!$C254</f>
        <v>4514.3950978000012</v>
      </c>
      <c r="N344" s="65">
        <f>+N339*'Reg Proy Inmob'!$C254</f>
        <v>4514.3950978000012</v>
      </c>
      <c r="O344" s="65">
        <f>+O339*'Reg Proy Inmob'!$C254</f>
        <v>4514.3950978000012</v>
      </c>
      <c r="P344" s="65">
        <f>+P339*'Reg Proy Inmob'!$C254</f>
        <v>4514.3950978000012</v>
      </c>
      <c r="Q344" s="65">
        <f>+Q339*'Reg Proy Inmob'!$C254</f>
        <v>4514.3950978000012</v>
      </c>
      <c r="R344" s="65">
        <f>+R339*'Reg Proy Inmob'!$C254</f>
        <v>4514.3950978000012</v>
      </c>
      <c r="S344" s="65">
        <f>+S339*'Reg Proy Inmob'!$C254</f>
        <v>4514.3950978000012</v>
      </c>
      <c r="T344" s="65">
        <f>+T339*'Reg Proy Inmob'!$C254</f>
        <v>4514.3950978000012</v>
      </c>
      <c r="U344" s="65">
        <f>+U339*'Reg Proy Inmob'!$C254</f>
        <v>4514.3950978000012</v>
      </c>
      <c r="V344" s="65">
        <f>+V339*'Reg Proy Inmob'!$C254</f>
        <v>4514.3950978000012</v>
      </c>
      <c r="W344" s="65">
        <f>+W339*'Reg Proy Inmob'!$C254</f>
        <v>4514.3950978000012</v>
      </c>
      <c r="X344" s="65">
        <f>+X339*'Reg Proy Inmob'!$C254</f>
        <v>4514.3950978000012</v>
      </c>
      <c r="Y344" s="65">
        <f>+Y339*'Reg Proy Inmob'!$C254</f>
        <v>4514.3950978000012</v>
      </c>
      <c r="Z344" s="65">
        <f>+Z339*'Reg Proy Inmob'!$C254</f>
        <v>4514.3950978000012</v>
      </c>
      <c r="AA344" s="65">
        <f>+AA339*'Reg Proy Inmob'!$C254</f>
        <v>4514.3950978000012</v>
      </c>
    </row>
    <row r="345" spans="2:27" s="4" customFormat="1" ht="34" outlineLevel="3">
      <c r="B345" s="25" t="s">
        <v>56</v>
      </c>
      <c r="C345" s="72"/>
      <c r="G345" s="65">
        <f>+G339*'Reg Proy Inmob'!$C251</f>
        <v>0</v>
      </c>
      <c r="H345" s="65">
        <f>+H339*'Reg Proy Inmob'!$C251</f>
        <v>0</v>
      </c>
      <c r="I345" s="65">
        <f>+I339*'Reg Proy Inmob'!$C251</f>
        <v>0</v>
      </c>
      <c r="J345" s="65">
        <f>+J339*'Reg Proy Inmob'!$C251</f>
        <v>0</v>
      </c>
      <c r="K345" s="65">
        <f>+K339*'Reg Proy Inmob'!$C251</f>
        <v>368.73899999999992</v>
      </c>
      <c r="L345" s="65">
        <f>+L339*'Reg Proy Inmob'!$C251</f>
        <v>614.56499999999994</v>
      </c>
      <c r="M345" s="65">
        <f>+M339*'Reg Proy Inmob'!$C251</f>
        <v>614.56499999999994</v>
      </c>
      <c r="N345" s="65">
        <f>+N339*'Reg Proy Inmob'!$C251</f>
        <v>614.56499999999994</v>
      </c>
      <c r="O345" s="65">
        <f>+O339*'Reg Proy Inmob'!$C251</f>
        <v>614.56499999999994</v>
      </c>
      <c r="P345" s="65">
        <f>+P339*'Reg Proy Inmob'!$C251</f>
        <v>614.56499999999994</v>
      </c>
      <c r="Q345" s="65">
        <f>+Q339*'Reg Proy Inmob'!$C251</f>
        <v>614.56499999999994</v>
      </c>
      <c r="R345" s="65">
        <f>+R339*'Reg Proy Inmob'!$C251</f>
        <v>614.56499999999994</v>
      </c>
      <c r="S345" s="65">
        <f>+S339*'Reg Proy Inmob'!$C251</f>
        <v>614.56499999999994</v>
      </c>
      <c r="T345" s="65">
        <f>+T339*'Reg Proy Inmob'!$C251</f>
        <v>614.56499999999994</v>
      </c>
      <c r="U345" s="65">
        <f>+U339*'Reg Proy Inmob'!$C251</f>
        <v>614.56499999999994</v>
      </c>
      <c r="V345" s="65">
        <f>+V339*'Reg Proy Inmob'!$C251</f>
        <v>614.56499999999994</v>
      </c>
      <c r="W345" s="65">
        <f>+W339*'Reg Proy Inmob'!$C251</f>
        <v>614.56499999999994</v>
      </c>
      <c r="X345" s="65">
        <f>+X339*'Reg Proy Inmob'!$C251</f>
        <v>614.56499999999994</v>
      </c>
      <c r="Y345" s="65">
        <f>+Y339*'Reg Proy Inmob'!$C251</f>
        <v>614.56499999999994</v>
      </c>
      <c r="Z345" s="65">
        <f>+Z339*'Reg Proy Inmob'!$C251</f>
        <v>614.56499999999994</v>
      </c>
      <c r="AA345" s="65">
        <f>+AA339*'Reg Proy Inmob'!$C251</f>
        <v>614.56499999999994</v>
      </c>
    </row>
    <row r="346" spans="2:27" s="4" customFormat="1" ht="17" outlineLevel="2">
      <c r="B346" s="22" t="s">
        <v>59</v>
      </c>
      <c r="C346" s="24"/>
      <c r="G346" s="65">
        <f>+G347+G348</f>
        <v>0</v>
      </c>
      <c r="H346" s="65">
        <f t="shared" ref="H346:T346" si="118">+H347+H348</f>
        <v>0</v>
      </c>
      <c r="I346" s="65">
        <f t="shared" si="118"/>
        <v>0</v>
      </c>
      <c r="J346" s="65">
        <f t="shared" si="118"/>
        <v>0</v>
      </c>
      <c r="K346" s="65">
        <f t="shared" si="118"/>
        <v>6886.0402186799993</v>
      </c>
      <c r="L346" s="65">
        <f t="shared" si="118"/>
        <v>11476.7336978</v>
      </c>
      <c r="M346" s="65">
        <f t="shared" si="118"/>
        <v>11476.7336978</v>
      </c>
      <c r="N346" s="65">
        <f t="shared" si="118"/>
        <v>11476.7336978</v>
      </c>
      <c r="O346" s="65">
        <f t="shared" si="118"/>
        <v>11476.7336978</v>
      </c>
      <c r="P346" s="65">
        <f t="shared" si="118"/>
        <v>11476.7336978</v>
      </c>
      <c r="Q346" s="65">
        <f t="shared" si="118"/>
        <v>11476.7336978</v>
      </c>
      <c r="R346" s="65">
        <f t="shared" si="118"/>
        <v>11476.7336978</v>
      </c>
      <c r="S346" s="65">
        <f t="shared" si="118"/>
        <v>11476.7336978</v>
      </c>
      <c r="T346" s="65">
        <f t="shared" si="118"/>
        <v>11476.7336978</v>
      </c>
      <c r="U346" s="65">
        <f t="shared" ref="U346:AA346" si="119">+U347+U348</f>
        <v>11476.7336978</v>
      </c>
      <c r="V346" s="65">
        <f t="shared" si="119"/>
        <v>11476.7336978</v>
      </c>
      <c r="W346" s="65">
        <f t="shared" si="119"/>
        <v>11476.7336978</v>
      </c>
      <c r="X346" s="65">
        <f t="shared" si="119"/>
        <v>11476.7336978</v>
      </c>
      <c r="Y346" s="65">
        <f t="shared" si="119"/>
        <v>11476.7336978</v>
      </c>
      <c r="Z346" s="65">
        <f t="shared" si="119"/>
        <v>11476.7336978</v>
      </c>
      <c r="AA346" s="65">
        <f t="shared" si="119"/>
        <v>11476.7336978</v>
      </c>
    </row>
    <row r="347" spans="2:27" s="4" customFormat="1" ht="17" outlineLevel="3">
      <c r="B347" s="25" t="s">
        <v>6</v>
      </c>
      <c r="C347" s="72"/>
      <c r="G347" s="65">
        <f>+G339*'Reg Proy Inmob'!$C253</f>
        <v>0</v>
      </c>
      <c r="H347" s="65">
        <f>+H339*'Reg Proy Inmob'!$C253</f>
        <v>0</v>
      </c>
      <c r="I347" s="65">
        <f>+I339*'Reg Proy Inmob'!$C253</f>
        <v>0</v>
      </c>
      <c r="J347" s="65">
        <f>+J339*'Reg Proy Inmob'!$C253</f>
        <v>0</v>
      </c>
      <c r="K347" s="65">
        <f>+K339*'Reg Proy Inmob'!$C253</f>
        <v>4750.997159999999</v>
      </c>
      <c r="L347" s="65">
        <f>+L339*'Reg Proy Inmob'!$C253</f>
        <v>7918.3285999999998</v>
      </c>
      <c r="M347" s="65">
        <f>+M339*'Reg Proy Inmob'!$C253</f>
        <v>7918.3285999999998</v>
      </c>
      <c r="N347" s="65">
        <f>+N339*'Reg Proy Inmob'!$C253</f>
        <v>7918.3285999999998</v>
      </c>
      <c r="O347" s="65">
        <f>+O339*'Reg Proy Inmob'!$C253</f>
        <v>7918.3285999999998</v>
      </c>
      <c r="P347" s="65">
        <f>+P339*'Reg Proy Inmob'!$C253</f>
        <v>7918.3285999999998</v>
      </c>
      <c r="Q347" s="65">
        <f>+Q339*'Reg Proy Inmob'!$C253</f>
        <v>7918.3285999999998</v>
      </c>
      <c r="R347" s="65">
        <f>+R339*'Reg Proy Inmob'!$C253</f>
        <v>7918.3285999999998</v>
      </c>
      <c r="S347" s="65">
        <f>+S339*'Reg Proy Inmob'!$C253</f>
        <v>7918.3285999999998</v>
      </c>
      <c r="T347" s="65">
        <f>+T339*'Reg Proy Inmob'!$C253</f>
        <v>7918.3285999999998</v>
      </c>
      <c r="U347" s="65">
        <f>+U339*'Reg Proy Inmob'!$C253</f>
        <v>7918.3285999999998</v>
      </c>
      <c r="V347" s="65">
        <f>+V339*'Reg Proy Inmob'!$C253</f>
        <v>7918.3285999999998</v>
      </c>
      <c r="W347" s="65">
        <f>+W339*'Reg Proy Inmob'!$C253</f>
        <v>7918.3285999999998</v>
      </c>
      <c r="X347" s="65">
        <f>+X339*'Reg Proy Inmob'!$C253</f>
        <v>7918.3285999999998</v>
      </c>
      <c r="Y347" s="65">
        <f>+Y339*'Reg Proy Inmob'!$C253</f>
        <v>7918.3285999999998</v>
      </c>
      <c r="Z347" s="65">
        <f>+Z339*'Reg Proy Inmob'!$C253</f>
        <v>7918.3285999999998</v>
      </c>
      <c r="AA347" s="65">
        <f>+AA339*'Reg Proy Inmob'!$C253</f>
        <v>7918.3285999999998</v>
      </c>
    </row>
    <row r="348" spans="2:27" s="4" customFormat="1" ht="17" outlineLevel="3">
      <c r="B348" s="25" t="s">
        <v>222</v>
      </c>
      <c r="C348" s="72"/>
      <c r="G348" s="65">
        <f>+G339*'Reg Proy Inmob'!$C255</f>
        <v>0</v>
      </c>
      <c r="H348" s="65">
        <f>+H339*'Reg Proy Inmob'!$C255</f>
        <v>0</v>
      </c>
      <c r="I348" s="65">
        <f>+I339*'Reg Proy Inmob'!$C255</f>
        <v>0</v>
      </c>
      <c r="J348" s="65">
        <f>+J339*'Reg Proy Inmob'!$C255</f>
        <v>0</v>
      </c>
      <c r="K348" s="65">
        <f>+K339*'Reg Proy Inmob'!$C255</f>
        <v>2135.0430586800003</v>
      </c>
      <c r="L348" s="65">
        <f>+L339*'Reg Proy Inmob'!$C255</f>
        <v>3558.4050978000005</v>
      </c>
      <c r="M348" s="65">
        <f>+M339*'Reg Proy Inmob'!$C255</f>
        <v>3558.4050978000005</v>
      </c>
      <c r="N348" s="65">
        <f>+N339*'Reg Proy Inmob'!$C255</f>
        <v>3558.4050978000005</v>
      </c>
      <c r="O348" s="65">
        <f>+O339*'Reg Proy Inmob'!$C255</f>
        <v>3558.4050978000005</v>
      </c>
      <c r="P348" s="65">
        <f>+P339*'Reg Proy Inmob'!$C255</f>
        <v>3558.4050978000005</v>
      </c>
      <c r="Q348" s="65">
        <f>+Q339*'Reg Proy Inmob'!$C255</f>
        <v>3558.4050978000005</v>
      </c>
      <c r="R348" s="65">
        <f>+R339*'Reg Proy Inmob'!$C255</f>
        <v>3558.4050978000005</v>
      </c>
      <c r="S348" s="65">
        <f>+S339*'Reg Proy Inmob'!$C255</f>
        <v>3558.4050978000005</v>
      </c>
      <c r="T348" s="65">
        <f>+T339*'Reg Proy Inmob'!$C255</f>
        <v>3558.4050978000005</v>
      </c>
      <c r="U348" s="65">
        <f>+U339*'Reg Proy Inmob'!$C255</f>
        <v>3558.4050978000005</v>
      </c>
      <c r="V348" s="65">
        <f>+V339*'Reg Proy Inmob'!$C255</f>
        <v>3558.4050978000005</v>
      </c>
      <c r="W348" s="65">
        <f>+W339*'Reg Proy Inmob'!$C255</f>
        <v>3558.4050978000005</v>
      </c>
      <c r="X348" s="65">
        <f>+X339*'Reg Proy Inmob'!$C255</f>
        <v>3558.4050978000005</v>
      </c>
      <c r="Y348" s="65">
        <f>+Y339*'Reg Proy Inmob'!$C255</f>
        <v>3558.4050978000005</v>
      </c>
      <c r="Z348" s="65">
        <f>+Z339*'Reg Proy Inmob'!$C255</f>
        <v>3558.4050978000005</v>
      </c>
      <c r="AA348" s="65">
        <f>+AA339*'Reg Proy Inmob'!$C255</f>
        <v>3558.4050978000005</v>
      </c>
    </row>
    <row r="349" spans="2:27" s="4" customFormat="1" ht="17" outlineLevel="2">
      <c r="B349" s="22" t="s">
        <v>60</v>
      </c>
      <c r="C349" s="24"/>
      <c r="G349" s="65">
        <f t="shared" ref="G349:L349" si="120">-G350+G351+G352+G353+G354+G355+G356+G357</f>
        <v>0</v>
      </c>
      <c r="H349" s="65">
        <f t="shared" si="120"/>
        <v>0</v>
      </c>
      <c r="I349" s="65">
        <f t="shared" si="120"/>
        <v>0</v>
      </c>
      <c r="J349" s="65">
        <f t="shared" si="120"/>
        <v>0</v>
      </c>
      <c r="K349" s="65">
        <f t="shared" si="120"/>
        <v>0</v>
      </c>
      <c r="L349" s="65">
        <f t="shared" si="120"/>
        <v>1017.0204015999998</v>
      </c>
      <c r="M349" s="65">
        <f t="shared" ref="M349:T349" si="121">-M350+M351+M352+M353+M354+M355+M356+M357</f>
        <v>1218.6742008000001</v>
      </c>
      <c r="N349" s="65">
        <f t="shared" si="121"/>
        <v>0</v>
      </c>
      <c r="O349" s="65">
        <f t="shared" si="121"/>
        <v>0</v>
      </c>
      <c r="P349" s="65">
        <f t="shared" si="121"/>
        <v>0</v>
      </c>
      <c r="Q349" s="65">
        <f t="shared" si="121"/>
        <v>0</v>
      </c>
      <c r="R349" s="65">
        <f t="shared" si="121"/>
        <v>0</v>
      </c>
      <c r="S349" s="65">
        <f t="shared" si="121"/>
        <v>0</v>
      </c>
      <c r="T349" s="65">
        <f t="shared" si="121"/>
        <v>0</v>
      </c>
      <c r="U349" s="65">
        <f t="shared" ref="U349:AA349" si="122">-U350+U351+U352+U353+U354+U355+U356+U357</f>
        <v>0</v>
      </c>
      <c r="V349" s="65">
        <f t="shared" si="122"/>
        <v>0</v>
      </c>
      <c r="W349" s="65">
        <f t="shared" si="122"/>
        <v>0</v>
      </c>
      <c r="X349" s="65">
        <f t="shared" si="122"/>
        <v>0</v>
      </c>
      <c r="Y349" s="65">
        <f t="shared" si="122"/>
        <v>0</v>
      </c>
      <c r="Z349" s="65">
        <f t="shared" si="122"/>
        <v>0</v>
      </c>
      <c r="AA349" s="65">
        <f t="shared" si="122"/>
        <v>0</v>
      </c>
    </row>
    <row r="350" spans="2:27" outlineLevel="3">
      <c r="B350" s="21" t="s">
        <v>51</v>
      </c>
      <c r="C350" s="20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8"/>
      <c r="Y350" s="68"/>
      <c r="Z350" s="68"/>
      <c r="AA350" s="38"/>
    </row>
    <row r="351" spans="2:27" outlineLevel="3">
      <c r="B351" s="21" t="s">
        <v>52</v>
      </c>
      <c r="C351" s="20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8"/>
      <c r="Y351" s="68"/>
      <c r="Z351" s="68"/>
      <c r="AA351" s="38"/>
    </row>
    <row r="352" spans="2:27" ht="51" outlineLevel="3">
      <c r="B352" s="25" t="s">
        <v>54</v>
      </c>
      <c r="C352" s="20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8"/>
      <c r="Y352" s="68"/>
      <c r="Z352" s="68"/>
      <c r="AA352" s="38"/>
    </row>
    <row r="353" spans="2:27" s="4" customFormat="1" ht="17" outlineLevel="3">
      <c r="B353" s="25" t="s">
        <v>61</v>
      </c>
      <c r="C353" s="24"/>
      <c r="G353" s="67"/>
      <c r="H353" s="67"/>
      <c r="I353" s="67"/>
      <c r="J353" s="67"/>
      <c r="K353" s="67"/>
      <c r="L353" s="67">
        <f>+K344-K348</f>
        <v>573.5939999999996</v>
      </c>
      <c r="M353" s="67">
        <f>+L344-L348-L353</f>
        <v>382.3960000000011</v>
      </c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8"/>
      <c r="Y353" s="68"/>
      <c r="Z353" s="68"/>
      <c r="AA353" s="57"/>
    </row>
    <row r="354" spans="2:27" s="4" customFormat="1" ht="17" outlineLevel="3">
      <c r="B354" s="25" t="s">
        <v>62</v>
      </c>
      <c r="C354" s="24"/>
      <c r="G354" s="67"/>
      <c r="H354" s="67"/>
      <c r="I354" s="67"/>
      <c r="J354" s="67"/>
      <c r="K354" s="67"/>
      <c r="L354" s="67">
        <f>+L341</f>
        <v>79.18328600000001</v>
      </c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8"/>
      <c r="Y354" s="68"/>
      <c r="Z354" s="68"/>
      <c r="AA354" s="57"/>
    </row>
    <row r="355" spans="2:27" s="4" customFormat="1" ht="17" outlineLevel="3">
      <c r="B355" s="25" t="s">
        <v>63</v>
      </c>
      <c r="C355" s="24"/>
      <c r="G355" s="67"/>
      <c r="H355" s="67"/>
      <c r="I355" s="67"/>
      <c r="J355" s="67"/>
      <c r="K355" s="67"/>
      <c r="L355" s="67">
        <f>+L342</f>
        <v>31.673314399999999</v>
      </c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8"/>
      <c r="Y355" s="68"/>
      <c r="Z355" s="68"/>
      <c r="AA355" s="57"/>
    </row>
    <row r="356" spans="2:27" s="4" customFormat="1" ht="17" outlineLevel="3">
      <c r="B356" s="25" t="s">
        <v>64</v>
      </c>
      <c r="C356" s="24"/>
      <c r="G356" s="67"/>
      <c r="H356" s="67"/>
      <c r="I356" s="67"/>
      <c r="J356" s="67"/>
      <c r="K356" s="67"/>
      <c r="L356" s="67">
        <f>+K343-K347</f>
        <v>332.56980120000026</v>
      </c>
      <c r="M356" s="67">
        <f>+L343-L347-L356</f>
        <v>221.71320079999896</v>
      </c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8"/>
      <c r="Y356" s="68"/>
      <c r="Z356" s="68"/>
      <c r="AA356" s="57"/>
    </row>
    <row r="357" spans="2:27" s="4" customFormat="1" ht="34" outlineLevel="3">
      <c r="B357" s="25" t="s">
        <v>65</v>
      </c>
      <c r="C357" s="24"/>
      <c r="G357" s="67"/>
      <c r="H357" s="67"/>
      <c r="I357" s="67"/>
      <c r="J357" s="67"/>
      <c r="K357" s="67"/>
      <c r="L357" s="67"/>
      <c r="M357" s="67">
        <f>+L345</f>
        <v>614.56499999999994</v>
      </c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8"/>
      <c r="Y357" s="68"/>
      <c r="Z357" s="68"/>
      <c r="AA357" s="57"/>
    </row>
    <row r="358" spans="2:27" s="4" customFormat="1" ht="34" outlineLevel="2">
      <c r="B358" s="25" t="s">
        <v>357</v>
      </c>
      <c r="C358" s="24"/>
      <c r="G358" s="209">
        <f>+(G334-F334)*Proyecciones!$D$64*'Reg Proy Inmob'!$F$241</f>
        <v>0</v>
      </c>
      <c r="H358" s="209">
        <f>+(H334-G334)*Proyecciones!$D$64*'Reg Proy Inmob'!$F$241</f>
        <v>0</v>
      </c>
      <c r="I358" s="209">
        <f>+(I334-H334)*Proyecciones!$D$64*'Reg Proy Inmob'!$F$241</f>
        <v>0</v>
      </c>
      <c r="J358" s="209">
        <f>+(J334-I334)*Proyecciones!$D$64*'Reg Proy Inmob'!$F$241</f>
        <v>0</v>
      </c>
      <c r="K358" s="209">
        <f>+(K334-J334)*Proyecciones!$D$64*'Reg Proy Inmob'!$F$241</f>
        <v>0</v>
      </c>
      <c r="L358" s="209">
        <f>+(L334-K334)*Proyecciones!$D$64*'Reg Proy Inmob'!$F$241</f>
        <v>8877.0500000000011</v>
      </c>
      <c r="M358" s="209">
        <f>+(M334-L334)*Proyecciones!$D$64*'Reg Proy Inmob'!$F$241</f>
        <v>0</v>
      </c>
      <c r="N358" s="209">
        <f>+(N334-M334)*Proyecciones!$D$64*'Reg Proy Inmob'!$F$241</f>
        <v>0</v>
      </c>
      <c r="O358" s="209">
        <f>+(O334-N334)*Proyecciones!$D$64*'Reg Proy Inmob'!$F$241</f>
        <v>0</v>
      </c>
      <c r="P358" s="209">
        <f>+(P334-O334)*Proyecciones!$D$64*'Reg Proy Inmob'!$F$241</f>
        <v>0</v>
      </c>
      <c r="Q358" s="209">
        <f>+(Q334-P334)*Proyecciones!$D$64*'Reg Proy Inmob'!$F$241</f>
        <v>0</v>
      </c>
      <c r="R358" s="209">
        <f>+(R334-Q334)*Proyecciones!$D$64*'Reg Proy Inmob'!$F$241</f>
        <v>0</v>
      </c>
      <c r="S358" s="209">
        <f>+(S334-R334)*Proyecciones!$D$64*'Reg Proy Inmob'!$F$241</f>
        <v>0</v>
      </c>
      <c r="T358" s="209">
        <f>+(T334-S334)*Proyecciones!$D$64*'Reg Proy Inmob'!$F$241</f>
        <v>0</v>
      </c>
      <c r="U358" s="209">
        <f>+(U334-T334)*Proyecciones!$D$64*'Reg Proy Inmob'!$F$241</f>
        <v>0</v>
      </c>
      <c r="V358" s="209">
        <f>+(V334-U334)*Proyecciones!$D$64*'Reg Proy Inmob'!$F$241</f>
        <v>0</v>
      </c>
      <c r="W358" s="209">
        <f>+(W334-V334)*Proyecciones!$D$64*'Reg Proy Inmob'!$F$241</f>
        <v>0</v>
      </c>
    </row>
    <row r="359" spans="2:27" outlineLevel="1">
      <c r="B359" s="18" t="s">
        <v>243</v>
      </c>
      <c r="C359" s="20"/>
      <c r="D359" t="s">
        <v>352</v>
      </c>
    </row>
    <row r="360" spans="2:27" outlineLevel="2">
      <c r="B360" s="19" t="s">
        <v>220</v>
      </c>
      <c r="C360" s="20"/>
    </row>
    <row r="361" spans="2:27" ht="34" outlineLevel="3">
      <c r="B361" s="25" t="s">
        <v>58</v>
      </c>
      <c r="C361" s="20"/>
      <c r="F361" s="60"/>
      <c r="G361" s="60"/>
      <c r="H361" s="60"/>
      <c r="I361" s="60"/>
      <c r="J361" s="60"/>
      <c r="K361" s="60">
        <v>30</v>
      </c>
      <c r="L361" s="60">
        <v>62</v>
      </c>
      <c r="M361" s="60">
        <v>62</v>
      </c>
      <c r="N361" s="60">
        <f t="shared" ref="N361:AA361" si="123">+M361</f>
        <v>62</v>
      </c>
      <c r="O361" s="60">
        <f t="shared" si="123"/>
        <v>62</v>
      </c>
      <c r="P361" s="60">
        <f t="shared" si="123"/>
        <v>62</v>
      </c>
      <c r="Q361" s="60">
        <f t="shared" si="123"/>
        <v>62</v>
      </c>
      <c r="R361" s="60">
        <f t="shared" si="123"/>
        <v>62</v>
      </c>
      <c r="S361" s="60">
        <f t="shared" si="123"/>
        <v>62</v>
      </c>
      <c r="T361" s="60">
        <f t="shared" si="123"/>
        <v>62</v>
      </c>
      <c r="U361" s="60">
        <f t="shared" si="123"/>
        <v>62</v>
      </c>
      <c r="V361" s="60">
        <f t="shared" si="123"/>
        <v>62</v>
      </c>
      <c r="W361" s="60">
        <f t="shared" si="123"/>
        <v>62</v>
      </c>
      <c r="X361" s="60">
        <f t="shared" si="123"/>
        <v>62</v>
      </c>
      <c r="Y361" s="60">
        <f t="shared" si="123"/>
        <v>62</v>
      </c>
      <c r="Z361" s="60">
        <f t="shared" si="123"/>
        <v>62</v>
      </c>
      <c r="AA361" s="60">
        <f t="shared" si="123"/>
        <v>62</v>
      </c>
    </row>
    <row r="362" spans="2:27" ht="17" outlineLevel="3">
      <c r="B362" s="25" t="s">
        <v>66</v>
      </c>
      <c r="C362" s="20"/>
      <c r="F362" s="61"/>
      <c r="G362" s="61"/>
      <c r="H362" s="61"/>
      <c r="I362" s="61"/>
      <c r="J362" s="61"/>
      <c r="K362" s="61">
        <f>+K363*K361</f>
        <v>15393.387096774193</v>
      </c>
      <c r="L362" s="61">
        <v>31813</v>
      </c>
      <c r="M362" s="61">
        <v>31813</v>
      </c>
      <c r="N362" s="61">
        <f t="shared" ref="N362:AA362" si="124">+M362</f>
        <v>31813</v>
      </c>
      <c r="O362" s="61">
        <f t="shared" si="124"/>
        <v>31813</v>
      </c>
      <c r="P362" s="61">
        <f t="shared" si="124"/>
        <v>31813</v>
      </c>
      <c r="Q362" s="61">
        <f t="shared" si="124"/>
        <v>31813</v>
      </c>
      <c r="R362" s="61">
        <f t="shared" si="124"/>
        <v>31813</v>
      </c>
      <c r="S362" s="61">
        <f t="shared" si="124"/>
        <v>31813</v>
      </c>
      <c r="T362" s="61">
        <f t="shared" si="124"/>
        <v>31813</v>
      </c>
      <c r="U362" s="61">
        <f t="shared" si="124"/>
        <v>31813</v>
      </c>
      <c r="V362" s="61">
        <f t="shared" si="124"/>
        <v>31813</v>
      </c>
      <c r="W362" s="61">
        <f t="shared" si="124"/>
        <v>31813</v>
      </c>
      <c r="X362" s="61">
        <f t="shared" si="124"/>
        <v>31813</v>
      </c>
      <c r="Y362" s="61">
        <f t="shared" si="124"/>
        <v>31813</v>
      </c>
      <c r="Z362" s="61">
        <f t="shared" si="124"/>
        <v>31813</v>
      </c>
      <c r="AA362" s="61">
        <f t="shared" si="124"/>
        <v>31813</v>
      </c>
    </row>
    <row r="363" spans="2:27" ht="17" outlineLevel="3">
      <c r="B363" s="25" t="s">
        <v>67</v>
      </c>
      <c r="C363" s="20"/>
      <c r="F363" s="73">
        <f t="shared" ref="F363:O363" si="125">+IF(ISERROR(F362/F361),0,F362/F361)</f>
        <v>0</v>
      </c>
      <c r="G363" s="73">
        <f t="shared" si="125"/>
        <v>0</v>
      </c>
      <c r="H363" s="73">
        <f t="shared" si="125"/>
        <v>0</v>
      </c>
      <c r="I363" s="73">
        <f t="shared" si="125"/>
        <v>0</v>
      </c>
      <c r="J363" s="73">
        <f t="shared" si="125"/>
        <v>0</v>
      </c>
      <c r="K363" s="73">
        <f>+L363</f>
        <v>513.11290322580646</v>
      </c>
      <c r="L363" s="73">
        <f t="shared" si="125"/>
        <v>513.11290322580646</v>
      </c>
      <c r="M363" s="73">
        <f t="shared" si="125"/>
        <v>513.11290322580646</v>
      </c>
      <c r="N363" s="73">
        <f t="shared" si="125"/>
        <v>513.11290322580646</v>
      </c>
      <c r="O363" s="73">
        <f t="shared" si="125"/>
        <v>513.11290322580646</v>
      </c>
      <c r="P363" s="73">
        <f t="shared" ref="P363:AA363" si="126">+IF(ISERROR(P362/P361),0,P362/P361)</f>
        <v>513.11290322580646</v>
      </c>
      <c r="Q363" s="73">
        <f t="shared" si="126"/>
        <v>513.11290322580646</v>
      </c>
      <c r="R363" s="73">
        <f t="shared" si="126"/>
        <v>513.11290322580646</v>
      </c>
      <c r="S363" s="73">
        <f t="shared" si="126"/>
        <v>513.11290322580646</v>
      </c>
      <c r="T363" s="73">
        <f t="shared" si="126"/>
        <v>513.11290322580646</v>
      </c>
      <c r="U363" s="73">
        <f t="shared" si="126"/>
        <v>513.11290322580646</v>
      </c>
      <c r="V363" s="73">
        <f t="shared" si="126"/>
        <v>513.11290322580646</v>
      </c>
      <c r="W363" s="73">
        <f t="shared" si="126"/>
        <v>513.11290322580646</v>
      </c>
      <c r="X363" s="73">
        <f t="shared" si="126"/>
        <v>513.11290322580646</v>
      </c>
      <c r="Y363" s="73">
        <f t="shared" si="126"/>
        <v>513.11290322580646</v>
      </c>
      <c r="Z363" s="73">
        <f t="shared" si="126"/>
        <v>513.11290322580646</v>
      </c>
      <c r="AA363" s="73">
        <f t="shared" si="126"/>
        <v>513.11290322580646</v>
      </c>
    </row>
    <row r="364" spans="2:27" ht="17" outlineLevel="2">
      <c r="B364" s="22" t="s">
        <v>216</v>
      </c>
      <c r="C364" s="20"/>
      <c r="G364" s="26"/>
      <c r="H364" s="26"/>
    </row>
    <row r="365" spans="2:27" ht="34" outlineLevel="3">
      <c r="B365" s="25" t="s">
        <v>217</v>
      </c>
      <c r="C365" s="20"/>
      <c r="G365" s="69"/>
      <c r="H365" s="69"/>
      <c r="I365" s="66"/>
      <c r="J365" s="66"/>
      <c r="K365" s="66"/>
      <c r="L365" s="66"/>
      <c r="M365" s="66">
        <v>62</v>
      </c>
      <c r="N365" s="66">
        <v>62</v>
      </c>
      <c r="O365" s="66">
        <f>+N361</f>
        <v>62</v>
      </c>
      <c r="P365" s="66">
        <f t="shared" ref="P365:AA365" si="127">+O361</f>
        <v>62</v>
      </c>
      <c r="Q365" s="66">
        <f t="shared" si="127"/>
        <v>62</v>
      </c>
      <c r="R365" s="66">
        <f t="shared" si="127"/>
        <v>62</v>
      </c>
      <c r="S365" s="66">
        <f t="shared" si="127"/>
        <v>62</v>
      </c>
      <c r="T365" s="66">
        <f t="shared" si="127"/>
        <v>62</v>
      </c>
      <c r="U365" s="66">
        <f t="shared" si="127"/>
        <v>62</v>
      </c>
      <c r="V365" s="66">
        <f t="shared" si="127"/>
        <v>62</v>
      </c>
      <c r="W365" s="66">
        <f t="shared" si="127"/>
        <v>62</v>
      </c>
      <c r="X365" s="66">
        <f t="shared" si="127"/>
        <v>62</v>
      </c>
      <c r="Y365" s="66">
        <f t="shared" si="127"/>
        <v>62</v>
      </c>
      <c r="Z365" s="66">
        <f t="shared" si="127"/>
        <v>62</v>
      </c>
      <c r="AA365" s="66">
        <f t="shared" si="127"/>
        <v>62</v>
      </c>
    </row>
    <row r="366" spans="2:27" ht="34" outlineLevel="3">
      <c r="B366" s="25" t="s">
        <v>218</v>
      </c>
      <c r="C366" s="20"/>
      <c r="G366" s="69"/>
      <c r="H366" s="69"/>
      <c r="I366" s="66"/>
      <c r="J366" s="66"/>
      <c r="K366" s="66"/>
      <c r="L366" s="66"/>
      <c r="M366" s="66">
        <f>+M362</f>
        <v>31813</v>
      </c>
      <c r="N366" s="66">
        <f>+O366</f>
        <v>31813</v>
      </c>
      <c r="O366" s="66">
        <f>+N362</f>
        <v>31813</v>
      </c>
      <c r="P366" s="66">
        <f t="shared" ref="P366:AA366" si="128">+O362</f>
        <v>31813</v>
      </c>
      <c r="Q366" s="66">
        <f t="shared" si="128"/>
        <v>31813</v>
      </c>
      <c r="R366" s="66">
        <f t="shared" si="128"/>
        <v>31813</v>
      </c>
      <c r="S366" s="66">
        <f t="shared" si="128"/>
        <v>31813</v>
      </c>
      <c r="T366" s="66">
        <f t="shared" si="128"/>
        <v>31813</v>
      </c>
      <c r="U366" s="66">
        <f t="shared" si="128"/>
        <v>31813</v>
      </c>
      <c r="V366" s="66">
        <f t="shared" si="128"/>
        <v>31813</v>
      </c>
      <c r="W366" s="66">
        <f t="shared" si="128"/>
        <v>31813</v>
      </c>
      <c r="X366" s="66">
        <f t="shared" si="128"/>
        <v>31813</v>
      </c>
      <c r="Y366" s="66">
        <f t="shared" si="128"/>
        <v>31813</v>
      </c>
      <c r="Z366" s="66">
        <f t="shared" si="128"/>
        <v>31813</v>
      </c>
      <c r="AA366" s="66">
        <f t="shared" si="128"/>
        <v>31813</v>
      </c>
    </row>
    <row r="367" spans="2:27" ht="17" outlineLevel="3">
      <c r="B367" s="25" t="s">
        <v>219</v>
      </c>
      <c r="C367" s="20"/>
      <c r="G367" s="26">
        <f>+IF(ISERROR(G366/G365),0,G366/G365)</f>
        <v>0</v>
      </c>
      <c r="H367" s="26">
        <f t="shared" ref="H367:O367" si="129">+IF(ISERROR(H366/H365),0,H366/H365)</f>
        <v>0</v>
      </c>
      <c r="I367" s="26">
        <f t="shared" si="129"/>
        <v>0</v>
      </c>
      <c r="J367" s="26">
        <f t="shared" si="129"/>
        <v>0</v>
      </c>
      <c r="K367" s="26">
        <f t="shared" si="129"/>
        <v>0</v>
      </c>
      <c r="L367" s="26">
        <f t="shared" si="129"/>
        <v>0</v>
      </c>
      <c r="M367" s="26">
        <f t="shared" si="129"/>
        <v>513.11290322580646</v>
      </c>
      <c r="N367" s="26">
        <f t="shared" si="129"/>
        <v>513.11290322580646</v>
      </c>
      <c r="O367" s="26">
        <f t="shared" si="129"/>
        <v>513.11290322580646</v>
      </c>
      <c r="P367" s="26">
        <f t="shared" ref="P367:AA367" si="130">+IF(ISERROR(P366/P365),0,P366/P365)</f>
        <v>513.11290322580646</v>
      </c>
      <c r="Q367" s="26">
        <f t="shared" si="130"/>
        <v>513.11290322580646</v>
      </c>
      <c r="R367" s="26">
        <f t="shared" si="130"/>
        <v>513.11290322580646</v>
      </c>
      <c r="S367" s="26">
        <f t="shared" si="130"/>
        <v>513.11290322580646</v>
      </c>
      <c r="T367" s="26">
        <f t="shared" si="130"/>
        <v>513.11290322580646</v>
      </c>
      <c r="U367" s="26">
        <f t="shared" si="130"/>
        <v>513.11290322580646</v>
      </c>
      <c r="V367" s="26">
        <f t="shared" si="130"/>
        <v>513.11290322580646</v>
      </c>
      <c r="W367" s="26">
        <f t="shared" si="130"/>
        <v>513.11290322580646</v>
      </c>
      <c r="X367" s="26">
        <f t="shared" si="130"/>
        <v>513.11290322580646</v>
      </c>
      <c r="Y367" s="26">
        <f t="shared" si="130"/>
        <v>513.11290322580646</v>
      </c>
      <c r="Z367" s="26">
        <f t="shared" si="130"/>
        <v>513.11290322580646</v>
      </c>
      <c r="AA367" s="26">
        <f t="shared" si="130"/>
        <v>513.11290322580646</v>
      </c>
    </row>
    <row r="368" spans="2:27" ht="17" outlineLevel="2">
      <c r="B368" s="22" t="s">
        <v>68</v>
      </c>
      <c r="C368" s="20"/>
    </row>
    <row r="369" spans="2:27" ht="34" outlineLevel="2">
      <c r="B369" s="22" t="s">
        <v>221</v>
      </c>
      <c r="C369" s="20" t="s">
        <v>53</v>
      </c>
      <c r="D369" s="1">
        <v>0.11</v>
      </c>
      <c r="F369">
        <v>0</v>
      </c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</row>
    <row r="370" spans="2:27" outlineLevel="2">
      <c r="B370" s="19" t="s">
        <v>55</v>
      </c>
      <c r="C370" s="20"/>
      <c r="F370" s="13"/>
      <c r="G370" s="70"/>
      <c r="H370" s="70"/>
      <c r="I370" s="70"/>
      <c r="J370" s="70"/>
      <c r="K370" s="70"/>
      <c r="L370" s="70">
        <v>0.25</v>
      </c>
      <c r="M370" s="70">
        <v>1</v>
      </c>
      <c r="N370" s="70">
        <v>1</v>
      </c>
      <c r="O370" s="70">
        <v>1</v>
      </c>
      <c r="P370" s="70">
        <v>1</v>
      </c>
      <c r="Q370" s="70">
        <v>1</v>
      </c>
      <c r="R370" s="70">
        <v>1</v>
      </c>
      <c r="S370" s="70">
        <v>1</v>
      </c>
      <c r="T370" s="70">
        <v>1</v>
      </c>
      <c r="U370" s="70">
        <v>1</v>
      </c>
      <c r="V370" s="70">
        <v>1</v>
      </c>
      <c r="W370" s="70">
        <v>1</v>
      </c>
      <c r="X370" s="70">
        <v>1</v>
      </c>
      <c r="Y370" s="70">
        <v>1</v>
      </c>
      <c r="Z370" s="70">
        <v>1</v>
      </c>
      <c r="AA370" s="70">
        <v>1</v>
      </c>
    </row>
    <row r="371" spans="2:27" outlineLevel="2">
      <c r="B371" s="19" t="s">
        <v>224</v>
      </c>
      <c r="C371" s="20"/>
      <c r="F371" s="13"/>
      <c r="G371" s="64">
        <f>+G370*G362</f>
        <v>0</v>
      </c>
      <c r="H371" s="64">
        <f t="shared" ref="H371:O371" si="131">+H370*H362</f>
        <v>0</v>
      </c>
      <c r="I371" s="64">
        <f t="shared" si="131"/>
        <v>0</v>
      </c>
      <c r="J371" s="64">
        <f t="shared" si="131"/>
        <v>0</v>
      </c>
      <c r="K371" s="64">
        <f t="shared" si="131"/>
        <v>0</v>
      </c>
      <c r="L371" s="64">
        <f t="shared" si="131"/>
        <v>7953.25</v>
      </c>
      <c r="M371" s="64">
        <f t="shared" si="131"/>
        <v>31813</v>
      </c>
      <c r="N371" s="64">
        <f t="shared" si="131"/>
        <v>31813</v>
      </c>
      <c r="O371" s="64">
        <f t="shared" si="131"/>
        <v>31813</v>
      </c>
      <c r="P371" s="64">
        <f t="shared" ref="P371:AA371" si="132">+P370*P362</f>
        <v>31813</v>
      </c>
      <c r="Q371" s="64">
        <f t="shared" si="132"/>
        <v>31813</v>
      </c>
      <c r="R371" s="64">
        <f t="shared" si="132"/>
        <v>31813</v>
      </c>
      <c r="S371" s="64">
        <f t="shared" si="132"/>
        <v>31813</v>
      </c>
      <c r="T371" s="64">
        <f t="shared" si="132"/>
        <v>31813</v>
      </c>
      <c r="U371" s="64">
        <f t="shared" si="132"/>
        <v>31813</v>
      </c>
      <c r="V371" s="64">
        <f t="shared" si="132"/>
        <v>31813</v>
      </c>
      <c r="W371" s="64">
        <f t="shared" si="132"/>
        <v>31813</v>
      </c>
      <c r="X371" s="64">
        <f t="shared" si="132"/>
        <v>31813</v>
      </c>
      <c r="Y371" s="64">
        <f t="shared" si="132"/>
        <v>31813</v>
      </c>
      <c r="Z371" s="64">
        <f t="shared" si="132"/>
        <v>31813</v>
      </c>
      <c r="AA371" s="64">
        <f t="shared" si="132"/>
        <v>31813</v>
      </c>
    </row>
    <row r="372" spans="2:27" outlineLevel="2">
      <c r="B372" s="19" t="s">
        <v>225</v>
      </c>
      <c r="C372" s="20"/>
      <c r="G372" s="65">
        <f>+G373+G374+G375+G376+G377</f>
        <v>0</v>
      </c>
      <c r="H372" s="65">
        <f t="shared" ref="H372:O372" si="133">+H373+H374+H375+H376+H377</f>
        <v>0</v>
      </c>
      <c r="I372" s="65">
        <f t="shared" si="133"/>
        <v>0</v>
      </c>
      <c r="J372" s="65">
        <f t="shared" si="133"/>
        <v>0</v>
      </c>
      <c r="K372" s="65">
        <f t="shared" si="133"/>
        <v>0</v>
      </c>
      <c r="L372" s="65">
        <f t="shared" si="133"/>
        <v>3992.7645302250003</v>
      </c>
      <c r="M372" s="65">
        <f t="shared" si="133"/>
        <v>15971.058120900001</v>
      </c>
      <c r="N372" s="65">
        <f t="shared" si="133"/>
        <v>15971.058120900001</v>
      </c>
      <c r="O372" s="65">
        <f t="shared" si="133"/>
        <v>15971.058120900001</v>
      </c>
      <c r="P372" s="65">
        <f t="shared" ref="P372:AA372" si="134">+P373+P374+P375+P376+P377</f>
        <v>15971.058120900001</v>
      </c>
      <c r="Q372" s="65">
        <f t="shared" si="134"/>
        <v>15971.058120900001</v>
      </c>
      <c r="R372" s="65">
        <f t="shared" si="134"/>
        <v>15971.058120900001</v>
      </c>
      <c r="S372" s="65">
        <f t="shared" si="134"/>
        <v>15971.058120900001</v>
      </c>
      <c r="T372" s="65">
        <f t="shared" si="134"/>
        <v>15971.058120900001</v>
      </c>
      <c r="U372" s="65">
        <f t="shared" si="134"/>
        <v>15971.058120900001</v>
      </c>
      <c r="V372" s="65">
        <f t="shared" si="134"/>
        <v>15971.058120900001</v>
      </c>
      <c r="W372" s="65">
        <f t="shared" si="134"/>
        <v>15971.058120900001</v>
      </c>
      <c r="X372" s="65">
        <f t="shared" si="134"/>
        <v>15971.058120900001</v>
      </c>
      <c r="Y372" s="65">
        <f t="shared" si="134"/>
        <v>15971.058120900001</v>
      </c>
      <c r="Z372" s="65">
        <f t="shared" si="134"/>
        <v>15971.058120900001</v>
      </c>
      <c r="AA372" s="65">
        <f t="shared" si="134"/>
        <v>15971.058120900001</v>
      </c>
    </row>
    <row r="373" spans="2:27" s="4" customFormat="1" outlineLevel="3">
      <c r="B373" s="21" t="s">
        <v>7</v>
      </c>
      <c r="C373" s="21"/>
      <c r="D373" s="23"/>
      <c r="G373" s="65">
        <f>+G371*'Reg Proy Inmob'!$C274</f>
        <v>0</v>
      </c>
      <c r="H373" s="65">
        <f>+H371*'Reg Proy Inmob'!$C274</f>
        <v>0</v>
      </c>
      <c r="I373" s="65">
        <f>+I371*'Reg Proy Inmob'!$C274</f>
        <v>0</v>
      </c>
      <c r="J373" s="65">
        <f>+J371*'Reg Proy Inmob'!$C274</f>
        <v>0</v>
      </c>
      <c r="K373" s="65">
        <f>+K371*'Reg Proy Inmob'!$C274</f>
        <v>0</v>
      </c>
      <c r="L373" s="65">
        <f>+L371*'Reg Proy Inmob'!$C274</f>
        <v>23.05647175</v>
      </c>
      <c r="M373" s="65">
        <f>+M371*'Reg Proy Inmob'!$C274</f>
        <v>92.225887</v>
      </c>
      <c r="N373" s="65">
        <f>+N371*'Reg Proy Inmob'!$C274</f>
        <v>92.225887</v>
      </c>
      <c r="O373" s="65">
        <f>+O371*'Reg Proy Inmob'!$C274</f>
        <v>92.225887</v>
      </c>
      <c r="P373" s="65">
        <f>+P371*'Reg Proy Inmob'!$C274</f>
        <v>92.225887</v>
      </c>
      <c r="Q373" s="65">
        <f>+Q371*'Reg Proy Inmob'!$C274</f>
        <v>92.225887</v>
      </c>
      <c r="R373" s="65">
        <f>+R371*'Reg Proy Inmob'!$C274</f>
        <v>92.225887</v>
      </c>
      <c r="S373" s="65">
        <f>+S371*'Reg Proy Inmob'!$C274</f>
        <v>92.225887</v>
      </c>
      <c r="T373" s="65">
        <f>+T371*'Reg Proy Inmob'!$C274</f>
        <v>92.225887</v>
      </c>
      <c r="U373" s="65">
        <f>+U371*'Reg Proy Inmob'!$C274</f>
        <v>92.225887</v>
      </c>
      <c r="V373" s="65">
        <f>+V371*'Reg Proy Inmob'!$C274</f>
        <v>92.225887</v>
      </c>
      <c r="W373" s="65">
        <f>+W371*'Reg Proy Inmob'!$C274</f>
        <v>92.225887</v>
      </c>
      <c r="X373" s="65">
        <f>+X371*'Reg Proy Inmob'!$C274</f>
        <v>92.225887</v>
      </c>
      <c r="Y373" s="65">
        <f>+Y371*'Reg Proy Inmob'!$C274</f>
        <v>92.225887</v>
      </c>
      <c r="Z373" s="65">
        <f>+Z371*'Reg Proy Inmob'!$C274</f>
        <v>92.225887</v>
      </c>
      <c r="AA373" s="65">
        <f>+AA371*'Reg Proy Inmob'!$C274</f>
        <v>92.225887</v>
      </c>
    </row>
    <row r="374" spans="2:27" s="4" customFormat="1" outlineLevel="3">
      <c r="B374" s="21" t="s">
        <v>11</v>
      </c>
      <c r="C374" s="72"/>
      <c r="D374" s="23"/>
      <c r="G374" s="65">
        <f>+G371*'Reg Proy Inmob'!$C275</f>
        <v>0</v>
      </c>
      <c r="H374" s="65">
        <f>+H371*'Reg Proy Inmob'!$C275</f>
        <v>0</v>
      </c>
      <c r="I374" s="65">
        <f>+I371*'Reg Proy Inmob'!$C275</f>
        <v>0</v>
      </c>
      <c r="J374" s="65">
        <f>+J371*'Reg Proy Inmob'!$C275</f>
        <v>0</v>
      </c>
      <c r="K374" s="65">
        <f>+K371*'Reg Proy Inmob'!$C275</f>
        <v>0</v>
      </c>
      <c r="L374" s="65">
        <f>+L371*'Reg Proy Inmob'!$C275</f>
        <v>9.2225886999999993</v>
      </c>
      <c r="M374" s="65">
        <f>+M371*'Reg Proy Inmob'!$C275</f>
        <v>36.890354799999997</v>
      </c>
      <c r="N374" s="65">
        <f>+N371*'Reg Proy Inmob'!$C275</f>
        <v>36.890354799999997</v>
      </c>
      <c r="O374" s="65">
        <f>+O371*'Reg Proy Inmob'!$C275</f>
        <v>36.890354799999997</v>
      </c>
      <c r="P374" s="65">
        <f>+P371*'Reg Proy Inmob'!$C275</f>
        <v>36.890354799999997</v>
      </c>
      <c r="Q374" s="65">
        <f>+Q371*'Reg Proy Inmob'!$C275</f>
        <v>36.890354799999997</v>
      </c>
      <c r="R374" s="65">
        <f>+R371*'Reg Proy Inmob'!$C275</f>
        <v>36.890354799999997</v>
      </c>
      <c r="S374" s="65">
        <f>+S371*'Reg Proy Inmob'!$C275</f>
        <v>36.890354799999997</v>
      </c>
      <c r="T374" s="65">
        <f>+T371*'Reg Proy Inmob'!$C275</f>
        <v>36.890354799999997</v>
      </c>
      <c r="U374" s="65">
        <f>+U371*'Reg Proy Inmob'!$C275</f>
        <v>36.890354799999997</v>
      </c>
      <c r="V374" s="65">
        <f>+V371*'Reg Proy Inmob'!$C275</f>
        <v>36.890354799999997</v>
      </c>
      <c r="W374" s="65">
        <f>+W371*'Reg Proy Inmob'!$C275</f>
        <v>36.890354799999997</v>
      </c>
      <c r="X374" s="65">
        <f>+X371*'Reg Proy Inmob'!$C275</f>
        <v>36.890354799999997</v>
      </c>
      <c r="Y374" s="65">
        <f>+Y371*'Reg Proy Inmob'!$C275</f>
        <v>36.890354799999997</v>
      </c>
      <c r="Z374" s="65">
        <f>+Z371*'Reg Proy Inmob'!$C275</f>
        <v>36.890354799999997</v>
      </c>
      <c r="AA374" s="65">
        <f>+AA371*'Reg Proy Inmob'!$C275</f>
        <v>36.890354799999997</v>
      </c>
    </row>
    <row r="375" spans="2:27" s="4" customFormat="1" outlineLevel="3">
      <c r="B375" s="21" t="s">
        <v>6</v>
      </c>
      <c r="C375" s="72"/>
      <c r="G375" s="65">
        <f>+G371*'Reg Proy Inmob'!$C277</f>
        <v>0</v>
      </c>
      <c r="H375" s="65">
        <f>+H371*'Reg Proy Inmob'!$C277</f>
        <v>0</v>
      </c>
      <c r="I375" s="65">
        <f>+I371*'Reg Proy Inmob'!$C277</f>
        <v>0</v>
      </c>
      <c r="J375" s="65">
        <f>+J371*'Reg Proy Inmob'!$C277</f>
        <v>0</v>
      </c>
      <c r="K375" s="65">
        <f>+K371*'Reg Proy Inmob'!$C277</f>
        <v>0</v>
      </c>
      <c r="L375" s="65">
        <f>+L371*'Reg Proy Inmob'!$C277</f>
        <v>2467.04247725</v>
      </c>
      <c r="M375" s="65">
        <f>+M371*'Reg Proy Inmob'!$C277</f>
        <v>9868.1699090000002</v>
      </c>
      <c r="N375" s="65">
        <f>+N371*'Reg Proy Inmob'!$C277</f>
        <v>9868.1699090000002</v>
      </c>
      <c r="O375" s="65">
        <f>+O371*'Reg Proy Inmob'!$C277</f>
        <v>9868.1699090000002</v>
      </c>
      <c r="P375" s="65">
        <f>+P371*'Reg Proy Inmob'!$C277</f>
        <v>9868.1699090000002</v>
      </c>
      <c r="Q375" s="65">
        <f>+Q371*'Reg Proy Inmob'!$C277</f>
        <v>9868.1699090000002</v>
      </c>
      <c r="R375" s="65">
        <f>+R371*'Reg Proy Inmob'!$C277</f>
        <v>9868.1699090000002</v>
      </c>
      <c r="S375" s="65">
        <f>+S371*'Reg Proy Inmob'!$C277</f>
        <v>9868.1699090000002</v>
      </c>
      <c r="T375" s="65">
        <f>+T371*'Reg Proy Inmob'!$C277</f>
        <v>9868.1699090000002</v>
      </c>
      <c r="U375" s="65">
        <f>+U371*'Reg Proy Inmob'!$C277</f>
        <v>9868.1699090000002</v>
      </c>
      <c r="V375" s="65">
        <f>+V371*'Reg Proy Inmob'!$C277</f>
        <v>9868.1699090000002</v>
      </c>
      <c r="W375" s="65">
        <f>+W371*'Reg Proy Inmob'!$C277</f>
        <v>9868.1699090000002</v>
      </c>
      <c r="X375" s="65">
        <f>+X371*'Reg Proy Inmob'!$C277</f>
        <v>9868.1699090000002</v>
      </c>
      <c r="Y375" s="65">
        <f>+Y371*'Reg Proy Inmob'!$C277</f>
        <v>9868.1699090000002</v>
      </c>
      <c r="Z375" s="65">
        <f>+Z371*'Reg Proy Inmob'!$C277</f>
        <v>9868.1699090000002</v>
      </c>
      <c r="AA375" s="65">
        <f>+AA371*'Reg Proy Inmob'!$C277</f>
        <v>9868.1699090000002</v>
      </c>
    </row>
    <row r="376" spans="2:27" s="4" customFormat="1" outlineLevel="3">
      <c r="B376" s="21" t="s">
        <v>222</v>
      </c>
      <c r="C376" s="72"/>
      <c r="D376" s="23"/>
      <c r="G376" s="65">
        <f>+G371*'Reg Proy Inmob'!$C279</f>
        <v>0</v>
      </c>
      <c r="H376" s="65">
        <f>+H371*'Reg Proy Inmob'!$C279</f>
        <v>0</v>
      </c>
      <c r="I376" s="65">
        <f>+I371*'Reg Proy Inmob'!$C279</f>
        <v>0</v>
      </c>
      <c r="J376" s="65">
        <f>+J371*'Reg Proy Inmob'!$C279</f>
        <v>0</v>
      </c>
      <c r="K376" s="65">
        <f>+K371*'Reg Proy Inmob'!$C279</f>
        <v>0</v>
      </c>
      <c r="L376" s="65">
        <f>+L371*'Reg Proy Inmob'!$C279</f>
        <v>1294.6117425250002</v>
      </c>
      <c r="M376" s="65">
        <f>+M371*'Reg Proy Inmob'!$C279</f>
        <v>5178.4469701000007</v>
      </c>
      <c r="N376" s="65">
        <f>+N371*'Reg Proy Inmob'!$C279</f>
        <v>5178.4469701000007</v>
      </c>
      <c r="O376" s="65">
        <f>+O371*'Reg Proy Inmob'!$C279</f>
        <v>5178.4469701000007</v>
      </c>
      <c r="P376" s="65">
        <f>+P371*'Reg Proy Inmob'!$C279</f>
        <v>5178.4469701000007</v>
      </c>
      <c r="Q376" s="65">
        <f>+Q371*'Reg Proy Inmob'!$C279</f>
        <v>5178.4469701000007</v>
      </c>
      <c r="R376" s="65">
        <f>+R371*'Reg Proy Inmob'!$C279</f>
        <v>5178.4469701000007</v>
      </c>
      <c r="S376" s="65">
        <f>+S371*'Reg Proy Inmob'!$C279</f>
        <v>5178.4469701000007</v>
      </c>
      <c r="T376" s="65">
        <f>+T371*'Reg Proy Inmob'!$C279</f>
        <v>5178.4469701000007</v>
      </c>
      <c r="U376" s="65">
        <f>+U371*'Reg Proy Inmob'!$C279</f>
        <v>5178.4469701000007</v>
      </c>
      <c r="V376" s="65">
        <f>+V371*'Reg Proy Inmob'!$C279</f>
        <v>5178.4469701000007</v>
      </c>
      <c r="W376" s="65">
        <f>+W371*'Reg Proy Inmob'!$C279</f>
        <v>5178.4469701000007</v>
      </c>
      <c r="X376" s="65">
        <f>+X371*'Reg Proy Inmob'!$C279</f>
        <v>5178.4469701000007</v>
      </c>
      <c r="Y376" s="65">
        <f>+Y371*'Reg Proy Inmob'!$C279</f>
        <v>5178.4469701000007</v>
      </c>
      <c r="Z376" s="65">
        <f>+Z371*'Reg Proy Inmob'!$C279</f>
        <v>5178.4469701000007</v>
      </c>
      <c r="AA376" s="65">
        <f>+AA371*'Reg Proy Inmob'!$C279</f>
        <v>5178.4469701000007</v>
      </c>
    </row>
    <row r="377" spans="2:27" s="4" customFormat="1" ht="34" outlineLevel="3">
      <c r="B377" s="25" t="s">
        <v>56</v>
      </c>
      <c r="C377" s="72"/>
      <c r="G377" s="65">
        <f>+G371*'Reg Proy Inmob'!$C276</f>
        <v>0</v>
      </c>
      <c r="H377" s="65">
        <f>+H371*'Reg Proy Inmob'!$C276</f>
        <v>0</v>
      </c>
      <c r="I377" s="65">
        <f>+I371*'Reg Proy Inmob'!$C276</f>
        <v>0</v>
      </c>
      <c r="J377" s="65">
        <f>+J371*'Reg Proy Inmob'!$C276</f>
        <v>0</v>
      </c>
      <c r="K377" s="65">
        <f>+K371*'Reg Proy Inmob'!$C276</f>
        <v>0</v>
      </c>
      <c r="L377" s="65">
        <f>+L371*'Reg Proy Inmob'!$C276</f>
        <v>198.83124999999998</v>
      </c>
      <c r="M377" s="65">
        <f>+M371*'Reg Proy Inmob'!$C276</f>
        <v>795.32499999999993</v>
      </c>
      <c r="N377" s="65">
        <f>+N371*'Reg Proy Inmob'!$C276</f>
        <v>795.32499999999993</v>
      </c>
      <c r="O377" s="65">
        <f>+O371*'Reg Proy Inmob'!$C276</f>
        <v>795.32499999999993</v>
      </c>
      <c r="P377" s="65">
        <f>+P371*'Reg Proy Inmob'!$C276</f>
        <v>795.32499999999993</v>
      </c>
      <c r="Q377" s="65">
        <f>+Q371*'Reg Proy Inmob'!$C276</f>
        <v>795.32499999999993</v>
      </c>
      <c r="R377" s="65">
        <f>+R371*'Reg Proy Inmob'!$C276</f>
        <v>795.32499999999993</v>
      </c>
      <c r="S377" s="65">
        <f>+S371*'Reg Proy Inmob'!$C276</f>
        <v>795.32499999999993</v>
      </c>
      <c r="T377" s="65">
        <f>+T371*'Reg Proy Inmob'!$C276</f>
        <v>795.32499999999993</v>
      </c>
      <c r="U377" s="65">
        <f>+U371*'Reg Proy Inmob'!$C276</f>
        <v>795.32499999999993</v>
      </c>
      <c r="V377" s="65">
        <f>+V371*'Reg Proy Inmob'!$C276</f>
        <v>795.32499999999993</v>
      </c>
      <c r="W377" s="65">
        <f>+W371*'Reg Proy Inmob'!$C276</f>
        <v>795.32499999999993</v>
      </c>
      <c r="X377" s="65">
        <f>+X371*'Reg Proy Inmob'!$C276</f>
        <v>795.32499999999993</v>
      </c>
      <c r="Y377" s="65">
        <f>+Y371*'Reg Proy Inmob'!$C276</f>
        <v>795.32499999999993</v>
      </c>
      <c r="Z377" s="65">
        <f>+Z371*'Reg Proy Inmob'!$C276</f>
        <v>795.32499999999993</v>
      </c>
      <c r="AA377" s="65">
        <f>+AA371*'Reg Proy Inmob'!$C276</f>
        <v>795.32499999999993</v>
      </c>
    </row>
    <row r="378" spans="2:27" s="4" customFormat="1" ht="17" outlineLevel="2">
      <c r="B378" s="22" t="s">
        <v>59</v>
      </c>
      <c r="C378" s="24"/>
      <c r="G378" s="65">
        <f>+G379+G380</f>
        <v>0</v>
      </c>
      <c r="H378" s="65">
        <f t="shared" ref="H378:O378" si="135">+H379+H380</f>
        <v>0</v>
      </c>
      <c r="I378" s="65">
        <f t="shared" si="135"/>
        <v>0</v>
      </c>
      <c r="J378" s="65">
        <f t="shared" si="135"/>
        <v>0</v>
      </c>
      <c r="K378" s="65">
        <f t="shared" si="135"/>
        <v>0</v>
      </c>
      <c r="L378" s="65">
        <f t="shared" si="135"/>
        <v>3321.895167525</v>
      </c>
      <c r="M378" s="65">
        <f t="shared" si="135"/>
        <v>13287.5806701</v>
      </c>
      <c r="N378" s="65">
        <f t="shared" si="135"/>
        <v>13287.5806701</v>
      </c>
      <c r="O378" s="65">
        <f t="shared" si="135"/>
        <v>13287.5806701</v>
      </c>
      <c r="P378" s="65">
        <f t="shared" ref="P378:AA378" si="136">+P379+P380</f>
        <v>13287.5806701</v>
      </c>
      <c r="Q378" s="65">
        <f t="shared" si="136"/>
        <v>13287.5806701</v>
      </c>
      <c r="R378" s="65">
        <f t="shared" si="136"/>
        <v>13287.5806701</v>
      </c>
      <c r="S378" s="65">
        <f t="shared" si="136"/>
        <v>13287.5806701</v>
      </c>
      <c r="T378" s="65">
        <f t="shared" si="136"/>
        <v>13287.5806701</v>
      </c>
      <c r="U378" s="65">
        <f t="shared" si="136"/>
        <v>13287.5806701</v>
      </c>
      <c r="V378" s="65">
        <f t="shared" si="136"/>
        <v>13287.5806701</v>
      </c>
      <c r="W378" s="65">
        <f t="shared" si="136"/>
        <v>13287.5806701</v>
      </c>
      <c r="X378" s="65">
        <f t="shared" si="136"/>
        <v>13287.5806701</v>
      </c>
      <c r="Y378" s="65">
        <f t="shared" si="136"/>
        <v>13287.5806701</v>
      </c>
      <c r="Z378" s="65">
        <f t="shared" si="136"/>
        <v>13287.5806701</v>
      </c>
      <c r="AA378" s="65">
        <f t="shared" si="136"/>
        <v>13287.5806701</v>
      </c>
    </row>
    <row r="379" spans="2:27" s="4" customFormat="1" ht="17" outlineLevel="3">
      <c r="B379" s="25" t="s">
        <v>6</v>
      </c>
      <c r="C379" s="72"/>
      <c r="G379" s="65">
        <f>+G371*'Reg Proy Inmob'!$C278</f>
        <v>0</v>
      </c>
      <c r="H379" s="65">
        <f>+H371*'Reg Proy Inmob'!$C278</f>
        <v>0</v>
      </c>
      <c r="I379" s="65">
        <f>+I371*'Reg Proy Inmob'!$C278</f>
        <v>0</v>
      </c>
      <c r="J379" s="65">
        <f>+J371*'Reg Proy Inmob'!$C278</f>
        <v>0</v>
      </c>
      <c r="K379" s="65">
        <f>+K371*'Reg Proy Inmob'!$C278</f>
        <v>0</v>
      </c>
      <c r="L379" s="65">
        <f>+L371*'Reg Proy Inmob'!$C278</f>
        <v>2305.6471750000001</v>
      </c>
      <c r="M379" s="65">
        <f>+M371*'Reg Proy Inmob'!$C278</f>
        <v>9222.5887000000002</v>
      </c>
      <c r="N379" s="65">
        <f>+N371*'Reg Proy Inmob'!$C278</f>
        <v>9222.5887000000002</v>
      </c>
      <c r="O379" s="65">
        <f>+O371*'Reg Proy Inmob'!$C278</f>
        <v>9222.5887000000002</v>
      </c>
      <c r="P379" s="65">
        <f>+P371*'Reg Proy Inmob'!$C278</f>
        <v>9222.5887000000002</v>
      </c>
      <c r="Q379" s="65">
        <f>+Q371*'Reg Proy Inmob'!$C278</f>
        <v>9222.5887000000002</v>
      </c>
      <c r="R379" s="65">
        <f>+R371*'Reg Proy Inmob'!$C278</f>
        <v>9222.5887000000002</v>
      </c>
      <c r="S379" s="65">
        <f>+S371*'Reg Proy Inmob'!$C278</f>
        <v>9222.5887000000002</v>
      </c>
      <c r="T379" s="65">
        <f>+T371*'Reg Proy Inmob'!$C278</f>
        <v>9222.5887000000002</v>
      </c>
      <c r="U379" s="65">
        <f>+U371*'Reg Proy Inmob'!$C278</f>
        <v>9222.5887000000002</v>
      </c>
      <c r="V379" s="65">
        <f>+V371*'Reg Proy Inmob'!$C278</f>
        <v>9222.5887000000002</v>
      </c>
      <c r="W379" s="65">
        <f>+W371*'Reg Proy Inmob'!$C278</f>
        <v>9222.5887000000002</v>
      </c>
      <c r="X379" s="65">
        <f>+X371*'Reg Proy Inmob'!$C278</f>
        <v>9222.5887000000002</v>
      </c>
      <c r="Y379" s="65">
        <f>+Y371*'Reg Proy Inmob'!$C278</f>
        <v>9222.5887000000002</v>
      </c>
      <c r="Z379" s="65">
        <f>+Z371*'Reg Proy Inmob'!$C278</f>
        <v>9222.5887000000002</v>
      </c>
      <c r="AA379" s="65">
        <f>+AA371*'Reg Proy Inmob'!$C278</f>
        <v>9222.5887000000002</v>
      </c>
    </row>
    <row r="380" spans="2:27" s="4" customFormat="1" ht="17" outlineLevel="3">
      <c r="B380" s="25" t="s">
        <v>222</v>
      </c>
      <c r="C380" s="72"/>
      <c r="G380" s="65">
        <f>+G371*'Reg Proy Inmob'!$C280</f>
        <v>0</v>
      </c>
      <c r="H380" s="65">
        <f>+H371*'Reg Proy Inmob'!$C280</f>
        <v>0</v>
      </c>
      <c r="I380" s="65">
        <f>+I371*'Reg Proy Inmob'!$C280</f>
        <v>0</v>
      </c>
      <c r="J380" s="65">
        <f>+J371*'Reg Proy Inmob'!$C280</f>
        <v>0</v>
      </c>
      <c r="K380" s="65">
        <f>+K371*'Reg Proy Inmob'!$C280</f>
        <v>0</v>
      </c>
      <c r="L380" s="65">
        <f>+L371*'Reg Proy Inmob'!$C280</f>
        <v>1016.2479925250002</v>
      </c>
      <c r="M380" s="65">
        <f>+M371*'Reg Proy Inmob'!$C280</f>
        <v>4064.9919701000008</v>
      </c>
      <c r="N380" s="65">
        <f>+N371*'Reg Proy Inmob'!$C280</f>
        <v>4064.9919701000008</v>
      </c>
      <c r="O380" s="65">
        <f>+O371*'Reg Proy Inmob'!$C280</f>
        <v>4064.9919701000008</v>
      </c>
      <c r="P380" s="65">
        <f>+P371*'Reg Proy Inmob'!$C280</f>
        <v>4064.9919701000008</v>
      </c>
      <c r="Q380" s="65">
        <f>+Q371*'Reg Proy Inmob'!$C280</f>
        <v>4064.9919701000008</v>
      </c>
      <c r="R380" s="65">
        <f>+R371*'Reg Proy Inmob'!$C280</f>
        <v>4064.9919701000008</v>
      </c>
      <c r="S380" s="65">
        <f>+S371*'Reg Proy Inmob'!$C280</f>
        <v>4064.9919701000008</v>
      </c>
      <c r="T380" s="65">
        <f>+T371*'Reg Proy Inmob'!$C280</f>
        <v>4064.9919701000008</v>
      </c>
      <c r="U380" s="65">
        <f>+U371*'Reg Proy Inmob'!$C280</f>
        <v>4064.9919701000008</v>
      </c>
      <c r="V380" s="65">
        <f>+V371*'Reg Proy Inmob'!$C280</f>
        <v>4064.9919701000008</v>
      </c>
      <c r="W380" s="65">
        <f>+W371*'Reg Proy Inmob'!$C280</f>
        <v>4064.9919701000008</v>
      </c>
      <c r="X380" s="65">
        <f>+X371*'Reg Proy Inmob'!$C280</f>
        <v>4064.9919701000008</v>
      </c>
      <c r="Y380" s="65">
        <f>+Y371*'Reg Proy Inmob'!$C280</f>
        <v>4064.9919701000008</v>
      </c>
      <c r="Z380" s="65">
        <f>+Z371*'Reg Proy Inmob'!$C280</f>
        <v>4064.9919701000008</v>
      </c>
      <c r="AA380" s="65">
        <f>+AA371*'Reg Proy Inmob'!$C280</f>
        <v>4064.9919701000008</v>
      </c>
    </row>
    <row r="381" spans="2:27" s="4" customFormat="1" ht="17" outlineLevel="2">
      <c r="B381" s="22" t="s">
        <v>60</v>
      </c>
      <c r="C381" s="24"/>
      <c r="G381" s="65">
        <f t="shared" ref="G381:L381" si="137">-G382+G383+G384+G385+G386+G387+G388+G389</f>
        <v>0</v>
      </c>
      <c r="H381" s="65">
        <f t="shared" si="137"/>
        <v>0</v>
      </c>
      <c r="I381" s="65">
        <f t="shared" si="137"/>
        <v>0</v>
      </c>
      <c r="J381" s="65">
        <f t="shared" si="137"/>
        <v>0</v>
      </c>
      <c r="K381" s="65">
        <f t="shared" si="137"/>
        <v>0</v>
      </c>
      <c r="L381" s="65">
        <f t="shared" si="137"/>
        <v>0</v>
      </c>
      <c r="M381" s="65">
        <f t="shared" ref="M381:AA381" si="138">-M382+M383+M384+M385+M386+M387+M388+M389</f>
        <v>1888.1524508</v>
      </c>
      <c r="N381" s="65">
        <f t="shared" si="138"/>
        <v>795.32499999999993</v>
      </c>
      <c r="O381" s="65">
        <f t="shared" si="138"/>
        <v>0</v>
      </c>
      <c r="P381" s="65">
        <f t="shared" si="138"/>
        <v>0</v>
      </c>
      <c r="Q381" s="65">
        <f t="shared" si="138"/>
        <v>0</v>
      </c>
      <c r="R381" s="65">
        <f t="shared" si="138"/>
        <v>0</v>
      </c>
      <c r="S381" s="65">
        <f t="shared" si="138"/>
        <v>0</v>
      </c>
      <c r="T381" s="65">
        <f t="shared" si="138"/>
        <v>0</v>
      </c>
      <c r="U381" s="65">
        <f t="shared" si="138"/>
        <v>0</v>
      </c>
      <c r="V381" s="65">
        <f t="shared" si="138"/>
        <v>0</v>
      </c>
      <c r="W381" s="65">
        <f t="shared" si="138"/>
        <v>0</v>
      </c>
      <c r="X381" s="65">
        <f t="shared" si="138"/>
        <v>0</v>
      </c>
      <c r="Y381" s="65">
        <f t="shared" si="138"/>
        <v>0</v>
      </c>
      <c r="Z381" s="65">
        <f t="shared" si="138"/>
        <v>0</v>
      </c>
      <c r="AA381" s="65">
        <f t="shared" si="138"/>
        <v>0</v>
      </c>
    </row>
    <row r="382" spans="2:27" outlineLevel="3">
      <c r="B382" s="21" t="s">
        <v>51</v>
      </c>
      <c r="C382" s="20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8"/>
      <c r="Y382" s="68"/>
      <c r="Z382" s="68"/>
      <c r="AA382" s="38"/>
    </row>
    <row r="383" spans="2:27" outlineLevel="3">
      <c r="B383" s="21" t="s">
        <v>52</v>
      </c>
      <c r="C383" s="20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8"/>
      <c r="Y383" s="68"/>
      <c r="Z383" s="68"/>
      <c r="AA383" s="38"/>
    </row>
    <row r="384" spans="2:27" ht="51" outlineLevel="3">
      <c r="B384" s="25" t="s">
        <v>54</v>
      </c>
      <c r="C384" s="20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8"/>
      <c r="Y384" s="68"/>
      <c r="Z384" s="68"/>
      <c r="AA384" s="38"/>
    </row>
    <row r="385" spans="2:27" s="4" customFormat="1" ht="17" outlineLevel="3">
      <c r="B385" s="25" t="s">
        <v>61</v>
      </c>
      <c r="C385" s="24"/>
      <c r="G385" s="67"/>
      <c r="H385" s="67"/>
      <c r="I385" s="67"/>
      <c r="J385" s="67"/>
      <c r="K385" s="67"/>
      <c r="L385" s="67"/>
      <c r="M385" s="67">
        <f>+M376-M380</f>
        <v>1113.4549999999999</v>
      </c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8"/>
      <c r="Y385" s="68"/>
      <c r="Z385" s="68"/>
      <c r="AA385" s="57"/>
    </row>
    <row r="386" spans="2:27" s="4" customFormat="1" ht="17" outlineLevel="3">
      <c r="B386" s="25" t="s">
        <v>62</v>
      </c>
      <c r="C386" s="24"/>
      <c r="G386" s="67"/>
      <c r="H386" s="67"/>
      <c r="I386" s="67"/>
      <c r="J386" s="67"/>
      <c r="K386" s="67"/>
      <c r="L386" s="67"/>
      <c r="M386" s="67">
        <f>+M373</f>
        <v>92.225887</v>
      </c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8"/>
      <c r="Y386" s="68"/>
      <c r="Z386" s="68"/>
      <c r="AA386" s="57"/>
    </row>
    <row r="387" spans="2:27" s="4" customFormat="1" ht="17" outlineLevel="3">
      <c r="B387" s="25" t="s">
        <v>63</v>
      </c>
      <c r="C387" s="24"/>
      <c r="G387" s="67"/>
      <c r="H387" s="67"/>
      <c r="I387" s="67"/>
      <c r="J387" s="67"/>
      <c r="K387" s="67"/>
      <c r="L387" s="67"/>
      <c r="M387" s="67">
        <f>+M374</f>
        <v>36.890354799999997</v>
      </c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8"/>
      <c r="Y387" s="68"/>
      <c r="Z387" s="68"/>
      <c r="AA387" s="57"/>
    </row>
    <row r="388" spans="2:27" s="4" customFormat="1" ht="17" outlineLevel="3">
      <c r="B388" s="25" t="s">
        <v>64</v>
      </c>
      <c r="C388" s="24"/>
      <c r="G388" s="67"/>
      <c r="H388" s="67"/>
      <c r="I388" s="67"/>
      <c r="J388" s="67"/>
      <c r="K388" s="67"/>
      <c r="L388" s="67"/>
      <c r="M388" s="67">
        <f>+M375-M379</f>
        <v>645.58120899999994</v>
      </c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8"/>
      <c r="Y388" s="68"/>
      <c r="Z388" s="68"/>
      <c r="AA388" s="57"/>
    </row>
    <row r="389" spans="2:27" s="4" customFormat="1" ht="34" outlineLevel="3">
      <c r="B389" s="25" t="s">
        <v>65</v>
      </c>
      <c r="C389" s="24"/>
      <c r="G389" s="67"/>
      <c r="H389" s="67"/>
      <c r="I389" s="67"/>
      <c r="J389" s="67"/>
      <c r="K389" s="67"/>
      <c r="L389" s="67"/>
      <c r="M389" s="67"/>
      <c r="N389" s="67">
        <f>+N377</f>
        <v>795.32499999999993</v>
      </c>
      <c r="O389" s="67"/>
      <c r="P389" s="67"/>
      <c r="Q389" s="67"/>
      <c r="R389" s="67"/>
      <c r="S389" s="67"/>
      <c r="T389" s="67"/>
      <c r="U389" s="67"/>
      <c r="V389" s="67"/>
      <c r="W389" s="67"/>
      <c r="X389" s="68"/>
      <c r="Y389" s="68"/>
      <c r="Z389" s="68"/>
      <c r="AA389" s="57"/>
    </row>
    <row r="390" spans="2:27" s="4" customFormat="1" ht="34" outlineLevel="2">
      <c r="B390" s="25" t="s">
        <v>357</v>
      </c>
      <c r="C390" s="24"/>
      <c r="G390" s="209">
        <f>+(G366-F366)*Proyecciones!$D$64*'Reg Proy Inmob'!$F$266</f>
        <v>0</v>
      </c>
      <c r="H390" s="209">
        <f>+(H366-G366)*Proyecciones!$D$64*'Reg Proy Inmob'!$F$266</f>
        <v>0</v>
      </c>
      <c r="I390" s="209">
        <f>+(I366-H366)*Proyecciones!$D$64*'Reg Proy Inmob'!$F$266</f>
        <v>0</v>
      </c>
      <c r="J390" s="209">
        <f>+(J366-I366)*Proyecciones!$D$64*'Reg Proy Inmob'!$F$266</f>
        <v>0</v>
      </c>
      <c r="K390" s="209">
        <f>+(K366-J366)*Proyecciones!$D$64*'Reg Proy Inmob'!$F$266</f>
        <v>0</v>
      </c>
      <c r="L390" s="209">
        <f>+(L366-K366)*Proyecciones!$D$64*'Reg Proy Inmob'!$F$266</f>
        <v>0</v>
      </c>
      <c r="M390" s="225">
        <f>+(M366-L366)*Proyecciones!$D$64*'Reg Proy Inmob'!$F$266</f>
        <v>10339.225</v>
      </c>
      <c r="N390" s="209">
        <f>+(N366-M366)*Proyecciones!$D$64*'Reg Proy Inmob'!$F$266</f>
        <v>0</v>
      </c>
      <c r="O390" s="209">
        <f>+(O366-N366)*Proyecciones!$D$64*'Reg Proy Inmob'!$F$266</f>
        <v>0</v>
      </c>
      <c r="P390" s="209">
        <f>+(P366-O366)*Proyecciones!$D$64*'Reg Proy Inmob'!$F$266</f>
        <v>0</v>
      </c>
      <c r="Q390" s="209">
        <f>+(Q366-P366)*Proyecciones!$D$64*'Reg Proy Inmob'!$F$266</f>
        <v>0</v>
      </c>
      <c r="R390" s="209">
        <f>+(R366-Q366)*Proyecciones!$D$64*'Reg Proy Inmob'!$F$266</f>
        <v>0</v>
      </c>
      <c r="S390" s="209">
        <f>+(S366-R366)*Proyecciones!$D$64*'Reg Proy Inmob'!$F$266</f>
        <v>0</v>
      </c>
      <c r="T390" s="209">
        <f>+(T366-S366)*Proyecciones!$D$64*'Reg Proy Inmob'!$F$266</f>
        <v>0</v>
      </c>
      <c r="U390" s="209">
        <f>+(U366-T366)*Proyecciones!$D$64*'Reg Proy Inmob'!$F$266</f>
        <v>0</v>
      </c>
      <c r="V390" s="209">
        <f>+(V366-U366)*Proyecciones!$D$64*'Reg Proy Inmob'!$F$266</f>
        <v>0</v>
      </c>
      <c r="W390" s="209">
        <f>+(W366-V366)*Proyecciones!$D$64*'Reg Proy Inmob'!$F$266</f>
        <v>0</v>
      </c>
    </row>
    <row r="391" spans="2:27" s="4" customFormat="1" outlineLevel="1">
      <c r="B391" s="25"/>
      <c r="C391" s="24"/>
    </row>
    <row r="392" spans="2:27" s="4" customFormat="1" outlineLevel="1">
      <c r="B392" s="25"/>
      <c r="C392" s="24"/>
    </row>
    <row r="393" spans="2:27" s="4" customFormat="1">
      <c r="B393" s="25"/>
      <c r="C393" s="24"/>
    </row>
    <row r="394" spans="2:27" s="4" customFormat="1">
      <c r="B394" s="25"/>
      <c r="C394" s="24"/>
    </row>
    <row r="395" spans="2:27" s="4" customFormat="1" ht="17">
      <c r="B395" s="54" t="s">
        <v>43</v>
      </c>
      <c r="C395" s="24"/>
      <c r="H395" s="57">
        <f>+H396-G396</f>
        <v>5639.5133587206319</v>
      </c>
    </row>
    <row r="396" spans="2:27" s="4" customFormat="1" ht="17">
      <c r="B396" s="75" t="s">
        <v>2</v>
      </c>
      <c r="C396" s="24"/>
      <c r="G396" s="57">
        <f>+G20+G52</f>
        <v>6642.3720111375487</v>
      </c>
      <c r="H396" s="57">
        <f t="shared" ref="H396:U396" si="139">+H20+H52</f>
        <v>12281.885369858181</v>
      </c>
      <c r="I396" s="57">
        <f t="shared" si="139"/>
        <v>14122.472294410909</v>
      </c>
      <c r="J396" s="57">
        <f t="shared" si="139"/>
        <v>14331.968477683635</v>
      </c>
      <c r="K396" s="57">
        <f t="shared" si="139"/>
        <v>14331.968477683635</v>
      </c>
      <c r="L396" s="57">
        <f t="shared" si="139"/>
        <v>14331.968477683635</v>
      </c>
      <c r="M396" s="57">
        <f t="shared" si="139"/>
        <v>14331.968477683635</v>
      </c>
      <c r="N396" s="57">
        <f t="shared" si="139"/>
        <v>14331.968477683635</v>
      </c>
      <c r="O396" s="57">
        <f t="shared" si="139"/>
        <v>14331.968477683635</v>
      </c>
      <c r="P396" s="57">
        <f t="shared" si="139"/>
        <v>14331.968477683635</v>
      </c>
      <c r="Q396" s="57">
        <f t="shared" si="139"/>
        <v>14331.968477683635</v>
      </c>
      <c r="R396" s="57">
        <f t="shared" si="139"/>
        <v>14331.968477683635</v>
      </c>
      <c r="S396" s="57">
        <f t="shared" si="139"/>
        <v>14331.968477683635</v>
      </c>
      <c r="T396" s="57">
        <f t="shared" si="139"/>
        <v>14331.968477683635</v>
      </c>
      <c r="U396" s="57">
        <f t="shared" si="139"/>
        <v>14331.968477683635</v>
      </c>
    </row>
    <row r="397" spans="2:27" s="4" customFormat="1" ht="17">
      <c r="B397" s="75" t="s">
        <v>59</v>
      </c>
      <c r="C397" s="24"/>
      <c r="G397" s="57">
        <f>+G26+G58</f>
        <v>4094.049276194497</v>
      </c>
      <c r="H397" s="57">
        <f t="shared" ref="H397:U397" si="140">+H26+H58</f>
        <v>7447.6584014181808</v>
      </c>
      <c r="I397" s="57">
        <f t="shared" si="140"/>
        <v>8482.026755890909</v>
      </c>
      <c r="J397" s="57">
        <f t="shared" si="140"/>
        <v>8482.026755890909</v>
      </c>
      <c r="K397" s="57">
        <f t="shared" si="140"/>
        <v>8482.026755890909</v>
      </c>
      <c r="L397" s="57">
        <f t="shared" si="140"/>
        <v>8482.026755890909</v>
      </c>
      <c r="M397" s="57">
        <f t="shared" si="140"/>
        <v>8482.026755890909</v>
      </c>
      <c r="N397" s="57">
        <f t="shared" si="140"/>
        <v>8482.026755890909</v>
      </c>
      <c r="O397" s="57">
        <f t="shared" si="140"/>
        <v>8482.026755890909</v>
      </c>
      <c r="P397" s="57">
        <f t="shared" si="140"/>
        <v>8482.026755890909</v>
      </c>
      <c r="Q397" s="57">
        <f t="shared" si="140"/>
        <v>8482.026755890909</v>
      </c>
      <c r="R397" s="57">
        <f t="shared" si="140"/>
        <v>8482.026755890909</v>
      </c>
      <c r="S397" s="57">
        <f t="shared" si="140"/>
        <v>8482.026755890909</v>
      </c>
      <c r="T397" s="57">
        <f t="shared" si="140"/>
        <v>8482.026755890909</v>
      </c>
      <c r="U397" s="57">
        <f t="shared" si="140"/>
        <v>8482.026755890909</v>
      </c>
    </row>
    <row r="398" spans="2:27" s="4" customFormat="1" ht="17">
      <c r="B398" s="75" t="s">
        <v>246</v>
      </c>
      <c r="C398" s="24"/>
      <c r="G398" s="57">
        <f>+G396-G397</f>
        <v>2548.3227349430517</v>
      </c>
      <c r="H398" s="57">
        <f t="shared" ref="H398:U398" si="141">+H396-H397</f>
        <v>4834.2269684399998</v>
      </c>
      <c r="I398" s="57">
        <f t="shared" si="141"/>
        <v>5640.4455385199999</v>
      </c>
      <c r="J398" s="57">
        <f t="shared" si="141"/>
        <v>5849.9417217927257</v>
      </c>
      <c r="K398" s="57">
        <f t="shared" si="141"/>
        <v>5849.9417217927257</v>
      </c>
      <c r="L398" s="57">
        <f t="shared" si="141"/>
        <v>5849.9417217927257</v>
      </c>
      <c r="M398" s="57">
        <f t="shared" si="141"/>
        <v>5849.9417217927257</v>
      </c>
      <c r="N398" s="57">
        <f t="shared" si="141"/>
        <v>5849.9417217927257</v>
      </c>
      <c r="O398" s="57">
        <f t="shared" si="141"/>
        <v>5849.9417217927257</v>
      </c>
      <c r="P398" s="57">
        <f t="shared" si="141"/>
        <v>5849.9417217927257</v>
      </c>
      <c r="Q398" s="57">
        <f t="shared" si="141"/>
        <v>5849.9417217927257</v>
      </c>
      <c r="R398" s="57">
        <f t="shared" si="141"/>
        <v>5849.9417217927257</v>
      </c>
      <c r="S398" s="57">
        <f t="shared" si="141"/>
        <v>5849.9417217927257</v>
      </c>
      <c r="T398" s="57">
        <f t="shared" si="141"/>
        <v>5849.9417217927257</v>
      </c>
      <c r="U398" s="57">
        <f t="shared" si="141"/>
        <v>5849.9417217927257</v>
      </c>
    </row>
    <row r="399" spans="2:27" s="4" customFormat="1" ht="17">
      <c r="B399" s="75" t="s">
        <v>5</v>
      </c>
      <c r="C399" s="24"/>
      <c r="G399" s="57">
        <f>G29+G61</f>
        <v>0</v>
      </c>
      <c r="H399" s="57">
        <f>H29+H61-H400</f>
        <v>1520.0720799999999</v>
      </c>
      <c r="I399" s="57">
        <f>I29+I61-I400</f>
        <v>1858.0659340000002</v>
      </c>
      <c r="J399" s="57">
        <f t="shared" ref="J399:U399" si="142">J29+J61</f>
        <v>2471.8037077927261</v>
      </c>
      <c r="K399" s="57">
        <f t="shared" si="142"/>
        <v>0</v>
      </c>
      <c r="L399" s="57">
        <f t="shared" si="142"/>
        <v>0</v>
      </c>
      <c r="M399" s="57">
        <f t="shared" si="142"/>
        <v>0</v>
      </c>
      <c r="N399" s="57">
        <f t="shared" si="142"/>
        <v>0</v>
      </c>
      <c r="O399" s="57">
        <f t="shared" si="142"/>
        <v>0</v>
      </c>
      <c r="P399" s="57">
        <f t="shared" si="142"/>
        <v>0</v>
      </c>
      <c r="Q399" s="57">
        <f t="shared" si="142"/>
        <v>0</v>
      </c>
      <c r="R399" s="57">
        <f t="shared" si="142"/>
        <v>0</v>
      </c>
      <c r="S399" s="57">
        <f t="shared" si="142"/>
        <v>0</v>
      </c>
      <c r="T399" s="57">
        <f t="shared" si="142"/>
        <v>0</v>
      </c>
      <c r="U399" s="57">
        <f t="shared" si="142"/>
        <v>0</v>
      </c>
    </row>
    <row r="400" spans="2:27" s="4" customFormat="1" ht="17">
      <c r="B400" s="75" t="s">
        <v>245</v>
      </c>
      <c r="C400" s="24"/>
      <c r="G400" s="57">
        <f>+G64+G32</f>
        <v>0</v>
      </c>
      <c r="H400" s="57">
        <f t="shared" ref="H400:U400" si="143">+H64+H32</f>
        <v>3824.6306370000002</v>
      </c>
      <c r="I400" s="57">
        <f t="shared" si="143"/>
        <v>5618.1225699999995</v>
      </c>
      <c r="J400" s="57">
        <f t="shared" si="143"/>
        <v>0</v>
      </c>
      <c r="K400" s="57">
        <f t="shared" si="143"/>
        <v>0</v>
      </c>
      <c r="L400" s="57">
        <f t="shared" si="143"/>
        <v>0</v>
      </c>
      <c r="M400" s="57">
        <f t="shared" si="143"/>
        <v>0</v>
      </c>
      <c r="N400" s="57">
        <f t="shared" si="143"/>
        <v>0</v>
      </c>
      <c r="O400" s="57">
        <f t="shared" si="143"/>
        <v>0</v>
      </c>
      <c r="P400" s="57">
        <f t="shared" si="143"/>
        <v>0</v>
      </c>
      <c r="Q400" s="57">
        <f t="shared" si="143"/>
        <v>0</v>
      </c>
      <c r="R400" s="57">
        <f t="shared" si="143"/>
        <v>0</v>
      </c>
      <c r="S400" s="57">
        <f t="shared" si="143"/>
        <v>0</v>
      </c>
      <c r="T400" s="57">
        <f t="shared" si="143"/>
        <v>0</v>
      </c>
      <c r="U400" s="57">
        <f t="shared" si="143"/>
        <v>0</v>
      </c>
    </row>
    <row r="401" spans="2:21" s="4" customFormat="1" ht="17">
      <c r="B401" s="54" t="s">
        <v>44</v>
      </c>
      <c r="C401" s="24"/>
      <c r="H401" s="57"/>
    </row>
    <row r="402" spans="2:21" s="4" customFormat="1" ht="17">
      <c r="B402" s="75" t="s">
        <v>2</v>
      </c>
      <c r="C402" s="24"/>
      <c r="G402" s="57">
        <f>+G84+G116</f>
        <v>11609.364917754059</v>
      </c>
      <c r="H402" s="57">
        <f t="shared" ref="H402:U402" si="144">+H84+H116</f>
        <v>25798.588706120136</v>
      </c>
      <c r="I402" s="57">
        <f t="shared" si="144"/>
        <v>32287.178638487701</v>
      </c>
      <c r="J402" s="57">
        <f t="shared" si="144"/>
        <v>51752.948435590399</v>
      </c>
      <c r="K402" s="57">
        <f t="shared" si="144"/>
        <v>51752.948435590399</v>
      </c>
      <c r="L402" s="57">
        <f t="shared" si="144"/>
        <v>51752.948435590399</v>
      </c>
      <c r="M402" s="57">
        <f t="shared" si="144"/>
        <v>51752.948435590399</v>
      </c>
      <c r="N402" s="57">
        <f t="shared" si="144"/>
        <v>51752.948435590399</v>
      </c>
      <c r="O402" s="57">
        <f t="shared" si="144"/>
        <v>51752.948435590399</v>
      </c>
      <c r="P402" s="57">
        <f t="shared" si="144"/>
        <v>51752.948435590399</v>
      </c>
      <c r="Q402" s="57">
        <f t="shared" si="144"/>
        <v>51752.948435590399</v>
      </c>
      <c r="R402" s="57">
        <f t="shared" si="144"/>
        <v>51752.948435590399</v>
      </c>
      <c r="S402" s="57">
        <f t="shared" si="144"/>
        <v>51752.948435590399</v>
      </c>
      <c r="T402" s="57">
        <f t="shared" si="144"/>
        <v>51752.948435590399</v>
      </c>
      <c r="U402" s="57">
        <f t="shared" si="144"/>
        <v>51752.948435590399</v>
      </c>
    </row>
    <row r="403" spans="2:21" s="4" customFormat="1" ht="17">
      <c r="B403" s="75" t="s">
        <v>59</v>
      </c>
      <c r="C403" s="24"/>
      <c r="G403" s="57">
        <f>+G90+G122</f>
        <v>10036.332309491234</v>
      </c>
      <c r="H403" s="57">
        <f t="shared" ref="H403:U403" si="145">+H90+H122</f>
        <v>22302.960687758299</v>
      </c>
      <c r="I403" s="57">
        <f t="shared" si="145"/>
        <v>27912.366994012868</v>
      </c>
      <c r="J403" s="57">
        <f t="shared" si="145"/>
        <v>44740.585912776565</v>
      </c>
      <c r="K403" s="57">
        <f t="shared" si="145"/>
        <v>44740.585912776565</v>
      </c>
      <c r="L403" s="57">
        <f t="shared" si="145"/>
        <v>44740.585912776565</v>
      </c>
      <c r="M403" s="57">
        <f t="shared" si="145"/>
        <v>44740.585912776565</v>
      </c>
      <c r="N403" s="57">
        <f t="shared" si="145"/>
        <v>44740.585912776565</v>
      </c>
      <c r="O403" s="57">
        <f t="shared" si="145"/>
        <v>44740.585912776565</v>
      </c>
      <c r="P403" s="57">
        <f t="shared" si="145"/>
        <v>44740.585912776565</v>
      </c>
      <c r="Q403" s="57">
        <f t="shared" si="145"/>
        <v>44740.585912776565</v>
      </c>
      <c r="R403" s="57">
        <f t="shared" si="145"/>
        <v>44740.585912776565</v>
      </c>
      <c r="S403" s="57">
        <f t="shared" si="145"/>
        <v>44740.585912776565</v>
      </c>
      <c r="T403" s="57">
        <f t="shared" si="145"/>
        <v>44740.585912776565</v>
      </c>
      <c r="U403" s="57">
        <f t="shared" si="145"/>
        <v>44740.585912776565</v>
      </c>
    </row>
    <row r="404" spans="2:21" s="4" customFormat="1" ht="17">
      <c r="B404" s="75" t="s">
        <v>246</v>
      </c>
      <c r="C404" s="24"/>
      <c r="G404" s="57">
        <f>+G402-G403</f>
        <v>1573.0326082628253</v>
      </c>
      <c r="H404" s="57">
        <f t="shared" ref="H404:U404" si="146">+H402-H403</f>
        <v>3495.6280183618364</v>
      </c>
      <c r="I404" s="57">
        <f t="shared" si="146"/>
        <v>4374.8116444748339</v>
      </c>
      <c r="J404" s="57">
        <f t="shared" si="146"/>
        <v>7012.3625228138335</v>
      </c>
      <c r="K404" s="57">
        <f t="shared" si="146"/>
        <v>7012.3625228138335</v>
      </c>
      <c r="L404" s="57">
        <f t="shared" si="146"/>
        <v>7012.3625228138335</v>
      </c>
      <c r="M404" s="57">
        <f t="shared" si="146"/>
        <v>7012.3625228138335</v>
      </c>
      <c r="N404" s="57">
        <f t="shared" si="146"/>
        <v>7012.3625228138335</v>
      </c>
      <c r="O404" s="57">
        <f t="shared" si="146"/>
        <v>7012.3625228138335</v>
      </c>
      <c r="P404" s="57">
        <f t="shared" si="146"/>
        <v>7012.3625228138335</v>
      </c>
      <c r="Q404" s="57">
        <f t="shared" si="146"/>
        <v>7012.3625228138335</v>
      </c>
      <c r="R404" s="57">
        <f t="shared" si="146"/>
        <v>7012.3625228138335</v>
      </c>
      <c r="S404" s="57">
        <f t="shared" si="146"/>
        <v>7012.3625228138335</v>
      </c>
      <c r="T404" s="57">
        <f t="shared" si="146"/>
        <v>7012.3625228138335</v>
      </c>
      <c r="U404" s="57">
        <f t="shared" si="146"/>
        <v>7012.3625228138335</v>
      </c>
    </row>
    <row r="405" spans="2:21" s="4" customFormat="1" ht="17">
      <c r="B405" s="75" t="s">
        <v>5</v>
      </c>
      <c r="C405" s="24"/>
      <c r="G405" s="57">
        <f>+G93+G125</f>
        <v>-1366</v>
      </c>
      <c r="H405" s="57">
        <f t="shared" ref="H405:U405" si="147">+H93+H125</f>
        <v>2182.3095728711087</v>
      </c>
      <c r="I405" s="57">
        <f t="shared" si="147"/>
        <v>4415.1836628820292</v>
      </c>
      <c r="J405" s="57">
        <f t="shared" si="147"/>
        <v>2587.9345044519964</v>
      </c>
      <c r="K405" s="57">
        <f t="shared" si="147"/>
        <v>692.93478260869563</v>
      </c>
      <c r="L405" s="57">
        <f t="shared" si="147"/>
        <v>0</v>
      </c>
      <c r="M405" s="57">
        <f t="shared" si="147"/>
        <v>0</v>
      </c>
      <c r="N405" s="57">
        <f t="shared" si="147"/>
        <v>0</v>
      </c>
      <c r="O405" s="57">
        <f t="shared" si="147"/>
        <v>0</v>
      </c>
      <c r="P405" s="57">
        <f t="shared" si="147"/>
        <v>0</v>
      </c>
      <c r="Q405" s="57">
        <f t="shared" si="147"/>
        <v>0</v>
      </c>
      <c r="R405" s="57">
        <f t="shared" si="147"/>
        <v>0</v>
      </c>
      <c r="S405" s="57">
        <f t="shared" si="147"/>
        <v>0</v>
      </c>
      <c r="T405" s="57">
        <f t="shared" si="147"/>
        <v>0</v>
      </c>
      <c r="U405" s="57">
        <f t="shared" si="147"/>
        <v>0</v>
      </c>
    </row>
    <row r="406" spans="2:21" s="4" customFormat="1" ht="17">
      <c r="B406" s="75" t="s">
        <v>245</v>
      </c>
      <c r="C406" s="24"/>
      <c r="G406" s="57">
        <f>+G128+G96</f>
        <v>0</v>
      </c>
      <c r="H406" s="57">
        <f t="shared" ref="H406:U406" si="148">+H128+H96</f>
        <v>0</v>
      </c>
      <c r="I406" s="57">
        <f t="shared" si="148"/>
        <v>807.06521739130437</v>
      </c>
      <c r="J406" s="57">
        <f t="shared" si="148"/>
        <v>0</v>
      </c>
      <c r="K406" s="57">
        <f t="shared" si="148"/>
        <v>692.93478260869563</v>
      </c>
      <c r="L406" s="57">
        <f t="shared" si="148"/>
        <v>0</v>
      </c>
      <c r="M406" s="57">
        <f t="shared" si="148"/>
        <v>0</v>
      </c>
      <c r="N406" s="57">
        <f t="shared" si="148"/>
        <v>0</v>
      </c>
      <c r="O406" s="57">
        <f t="shared" si="148"/>
        <v>0</v>
      </c>
      <c r="P406" s="57">
        <f t="shared" si="148"/>
        <v>0</v>
      </c>
      <c r="Q406" s="57">
        <f t="shared" si="148"/>
        <v>0</v>
      </c>
      <c r="R406" s="57">
        <f t="shared" si="148"/>
        <v>0</v>
      </c>
      <c r="S406" s="57">
        <f t="shared" si="148"/>
        <v>0</v>
      </c>
      <c r="T406" s="57">
        <f t="shared" si="148"/>
        <v>0</v>
      </c>
      <c r="U406" s="57">
        <f t="shared" si="148"/>
        <v>0</v>
      </c>
    </row>
    <row r="407" spans="2:21" s="4" customFormat="1" ht="17">
      <c r="B407" s="54" t="s">
        <v>47</v>
      </c>
      <c r="C407" s="24"/>
    </row>
    <row r="408" spans="2:21" s="4" customFormat="1" ht="17">
      <c r="B408" s="75" t="s">
        <v>2</v>
      </c>
      <c r="C408" s="24"/>
      <c r="G408" s="57">
        <f>+G180</f>
        <v>15686.3417072544</v>
      </c>
      <c r="H408" s="57">
        <f t="shared" ref="H408:U408" si="149">+H180</f>
        <v>27224.393042</v>
      </c>
      <c r="I408" s="57">
        <f t="shared" si="149"/>
        <v>27224.393042</v>
      </c>
      <c r="J408" s="57">
        <f t="shared" si="149"/>
        <v>27224.393042</v>
      </c>
      <c r="K408" s="57">
        <f t="shared" si="149"/>
        <v>27224.393042</v>
      </c>
      <c r="L408" s="57">
        <f t="shared" si="149"/>
        <v>27224.393042</v>
      </c>
      <c r="M408" s="57">
        <f t="shared" si="149"/>
        <v>27224.393042</v>
      </c>
      <c r="N408" s="57">
        <f t="shared" si="149"/>
        <v>27224.393042</v>
      </c>
      <c r="O408" s="57">
        <f t="shared" si="149"/>
        <v>27224.393042</v>
      </c>
      <c r="P408" s="57">
        <f t="shared" si="149"/>
        <v>27224.393042</v>
      </c>
      <c r="Q408" s="57">
        <f t="shared" si="149"/>
        <v>27224.393042</v>
      </c>
      <c r="R408" s="57">
        <f t="shared" si="149"/>
        <v>27224.393042</v>
      </c>
      <c r="S408" s="57">
        <f t="shared" si="149"/>
        <v>27224.393042</v>
      </c>
      <c r="T408" s="57">
        <f t="shared" si="149"/>
        <v>27224.393042</v>
      </c>
      <c r="U408" s="57">
        <f t="shared" si="149"/>
        <v>27224.393042</v>
      </c>
    </row>
    <row r="409" spans="2:21" s="4" customFormat="1" ht="17">
      <c r="B409" s="75" t="s">
        <v>59</v>
      </c>
      <c r="C409" s="24"/>
      <c r="G409" s="57">
        <f>+G186</f>
        <v>13908.803173443361</v>
      </c>
      <c r="H409" s="57">
        <f t="shared" ref="H409:U409" si="150">+H186</f>
        <v>24139.390267300001</v>
      </c>
      <c r="I409" s="57">
        <f t="shared" si="150"/>
        <v>24139.390267300001</v>
      </c>
      <c r="J409" s="57">
        <f t="shared" si="150"/>
        <v>24139.390267300001</v>
      </c>
      <c r="K409" s="57">
        <f t="shared" si="150"/>
        <v>24139.390267300001</v>
      </c>
      <c r="L409" s="57">
        <f t="shared" si="150"/>
        <v>24139.390267300001</v>
      </c>
      <c r="M409" s="57">
        <f t="shared" si="150"/>
        <v>24139.390267300001</v>
      </c>
      <c r="N409" s="57">
        <f t="shared" si="150"/>
        <v>24139.390267300001</v>
      </c>
      <c r="O409" s="57">
        <f t="shared" si="150"/>
        <v>24139.390267300001</v>
      </c>
      <c r="P409" s="57">
        <f t="shared" si="150"/>
        <v>24139.390267300001</v>
      </c>
      <c r="Q409" s="57">
        <f t="shared" si="150"/>
        <v>24139.390267300001</v>
      </c>
      <c r="R409" s="57">
        <f t="shared" si="150"/>
        <v>24139.390267300001</v>
      </c>
      <c r="S409" s="57">
        <f t="shared" si="150"/>
        <v>24139.390267300001</v>
      </c>
      <c r="T409" s="57">
        <f t="shared" si="150"/>
        <v>24139.390267300001</v>
      </c>
      <c r="U409" s="57">
        <f t="shared" si="150"/>
        <v>24139.390267300001</v>
      </c>
    </row>
    <row r="410" spans="2:21" s="4" customFormat="1" ht="17">
      <c r="B410" s="75" t="s">
        <v>246</v>
      </c>
      <c r="C410" s="24"/>
      <c r="G410" s="57">
        <f>+G408-G409</f>
        <v>1777.5385338110391</v>
      </c>
      <c r="H410" s="57">
        <f t="shared" ref="H410:U410" si="151">+H408-H409</f>
        <v>3085.0027746999986</v>
      </c>
      <c r="I410" s="57">
        <f t="shared" si="151"/>
        <v>3085.0027746999986</v>
      </c>
      <c r="J410" s="57">
        <f t="shared" si="151"/>
        <v>3085.0027746999986</v>
      </c>
      <c r="K410" s="57">
        <f t="shared" si="151"/>
        <v>3085.0027746999986</v>
      </c>
      <c r="L410" s="57">
        <f t="shared" si="151"/>
        <v>3085.0027746999986</v>
      </c>
      <c r="M410" s="57">
        <f t="shared" si="151"/>
        <v>3085.0027746999986</v>
      </c>
      <c r="N410" s="57">
        <f t="shared" si="151"/>
        <v>3085.0027746999986</v>
      </c>
      <c r="O410" s="57">
        <f t="shared" si="151"/>
        <v>3085.0027746999986</v>
      </c>
      <c r="P410" s="57">
        <f t="shared" si="151"/>
        <v>3085.0027746999986</v>
      </c>
      <c r="Q410" s="57">
        <f t="shared" si="151"/>
        <v>3085.0027746999986</v>
      </c>
      <c r="R410" s="57">
        <f t="shared" si="151"/>
        <v>3085.0027746999986</v>
      </c>
      <c r="S410" s="57">
        <f t="shared" si="151"/>
        <v>3085.0027746999986</v>
      </c>
      <c r="T410" s="57">
        <f t="shared" si="151"/>
        <v>3085.0027746999986</v>
      </c>
      <c r="U410" s="57">
        <f t="shared" si="151"/>
        <v>3085.0027746999986</v>
      </c>
    </row>
    <row r="411" spans="2:21" s="4" customFormat="1" ht="17">
      <c r="B411" s="75" t="s">
        <v>5</v>
      </c>
      <c r="C411" s="24"/>
      <c r="G411" s="57">
        <f>+G189</f>
        <v>0</v>
      </c>
      <c r="H411" s="57">
        <f t="shared" ref="H411:U411" si="152">+H189</f>
        <v>0</v>
      </c>
      <c r="I411" s="57">
        <f t="shared" si="152"/>
        <v>5704.0643269649991</v>
      </c>
      <c r="J411" s="57">
        <f t="shared" si="152"/>
        <v>0</v>
      </c>
      <c r="K411" s="57">
        <f t="shared" si="152"/>
        <v>0</v>
      </c>
      <c r="L411" s="57">
        <f t="shared" si="152"/>
        <v>0</v>
      </c>
      <c r="M411" s="57">
        <f t="shared" si="152"/>
        <v>0</v>
      </c>
      <c r="N411" s="57">
        <f t="shared" si="152"/>
        <v>0</v>
      </c>
      <c r="O411" s="57">
        <f t="shared" si="152"/>
        <v>0</v>
      </c>
      <c r="P411" s="57">
        <f t="shared" si="152"/>
        <v>0</v>
      </c>
      <c r="Q411" s="57">
        <f t="shared" si="152"/>
        <v>0</v>
      </c>
      <c r="R411" s="57">
        <f t="shared" si="152"/>
        <v>0</v>
      </c>
      <c r="S411" s="57">
        <f t="shared" si="152"/>
        <v>0</v>
      </c>
      <c r="T411" s="57">
        <f t="shared" si="152"/>
        <v>0</v>
      </c>
      <c r="U411" s="57">
        <f t="shared" si="152"/>
        <v>0</v>
      </c>
    </row>
    <row r="412" spans="2:21" s="4" customFormat="1" ht="17">
      <c r="B412" s="75" t="s">
        <v>245</v>
      </c>
      <c r="C412" s="24"/>
      <c r="G412" s="57">
        <f>+G191</f>
        <v>0</v>
      </c>
      <c r="H412" s="57">
        <f t="shared" ref="H412:U412" si="153">+H191</f>
        <v>0</v>
      </c>
      <c r="I412" s="57">
        <f t="shared" si="153"/>
        <v>2619.061552265</v>
      </c>
      <c r="J412" s="57">
        <f t="shared" si="153"/>
        <v>0</v>
      </c>
      <c r="K412" s="57">
        <f t="shared" si="153"/>
        <v>0</v>
      </c>
      <c r="L412" s="57">
        <f t="shared" si="153"/>
        <v>0</v>
      </c>
      <c r="M412" s="57">
        <f t="shared" si="153"/>
        <v>0</v>
      </c>
      <c r="N412" s="57">
        <f t="shared" si="153"/>
        <v>0</v>
      </c>
      <c r="O412" s="57">
        <f t="shared" si="153"/>
        <v>0</v>
      </c>
      <c r="P412" s="57">
        <f t="shared" si="153"/>
        <v>0</v>
      </c>
      <c r="Q412" s="57">
        <f t="shared" si="153"/>
        <v>0</v>
      </c>
      <c r="R412" s="57">
        <f t="shared" si="153"/>
        <v>0</v>
      </c>
      <c r="S412" s="57">
        <f t="shared" si="153"/>
        <v>0</v>
      </c>
      <c r="T412" s="57">
        <f t="shared" si="153"/>
        <v>0</v>
      </c>
      <c r="U412" s="57">
        <f t="shared" si="153"/>
        <v>0</v>
      </c>
    </row>
    <row r="413" spans="2:21" s="4" customFormat="1" ht="17">
      <c r="B413" s="54" t="s">
        <v>49</v>
      </c>
      <c r="C413" s="24"/>
    </row>
    <row r="414" spans="2:21" s="4" customFormat="1" ht="17">
      <c r="B414" s="75" t="s">
        <v>2</v>
      </c>
      <c r="C414" s="24"/>
      <c r="G414" s="57">
        <f>+G244+G212</f>
        <v>24520.115071659999</v>
      </c>
      <c r="H414" s="57">
        <f t="shared" ref="H414:U414" si="154">+H244+H212</f>
        <v>24520.115071659999</v>
      </c>
      <c r="I414" s="57">
        <f t="shared" si="154"/>
        <v>34137.351661157285</v>
      </c>
      <c r="J414" s="57">
        <f t="shared" si="154"/>
        <v>45587.446045367091</v>
      </c>
      <c r="K414" s="57">
        <f t="shared" si="154"/>
        <v>45587.446045367091</v>
      </c>
      <c r="L414" s="57">
        <f t="shared" si="154"/>
        <v>45587.446045367091</v>
      </c>
      <c r="M414" s="57">
        <f t="shared" si="154"/>
        <v>45587.446045367091</v>
      </c>
      <c r="N414" s="57">
        <f t="shared" si="154"/>
        <v>45587.446045367091</v>
      </c>
      <c r="O414" s="57">
        <f t="shared" si="154"/>
        <v>45587.446045367091</v>
      </c>
      <c r="P414" s="57">
        <f t="shared" si="154"/>
        <v>45587.446045367091</v>
      </c>
      <c r="Q414" s="57">
        <f t="shared" si="154"/>
        <v>45587.446045367091</v>
      </c>
      <c r="R414" s="57">
        <f t="shared" si="154"/>
        <v>45587.446045367091</v>
      </c>
      <c r="S414" s="57">
        <f t="shared" si="154"/>
        <v>45587.446045367091</v>
      </c>
      <c r="T414" s="57">
        <f t="shared" si="154"/>
        <v>45587.446045367091</v>
      </c>
      <c r="U414" s="57">
        <f t="shared" si="154"/>
        <v>45587.446045367091</v>
      </c>
    </row>
    <row r="415" spans="2:21" s="4" customFormat="1" ht="17">
      <c r="B415" s="75" t="s">
        <v>59</v>
      </c>
      <c r="C415" s="24"/>
      <c r="G415" s="57">
        <f>+G250+G218</f>
        <v>24669.728302</v>
      </c>
      <c r="H415" s="57">
        <f t="shared" ref="H415:U415" si="155">+H250+H218</f>
        <v>24669.728302</v>
      </c>
      <c r="I415" s="57">
        <f t="shared" si="155"/>
        <v>32484.284989162501</v>
      </c>
      <c r="J415" s="57">
        <f t="shared" si="155"/>
        <v>41788.143827</v>
      </c>
      <c r="K415" s="57">
        <f t="shared" si="155"/>
        <v>41788.143827</v>
      </c>
      <c r="L415" s="57">
        <f t="shared" si="155"/>
        <v>41788.143827</v>
      </c>
      <c r="M415" s="57">
        <f t="shared" si="155"/>
        <v>41788.143827</v>
      </c>
      <c r="N415" s="57">
        <f t="shared" si="155"/>
        <v>41788.143827</v>
      </c>
      <c r="O415" s="57">
        <f t="shared" si="155"/>
        <v>41788.143827</v>
      </c>
      <c r="P415" s="57">
        <f t="shared" si="155"/>
        <v>41788.143827</v>
      </c>
      <c r="Q415" s="57">
        <f t="shared" si="155"/>
        <v>41788.143827</v>
      </c>
      <c r="R415" s="57">
        <f t="shared" si="155"/>
        <v>41788.143827</v>
      </c>
      <c r="S415" s="57">
        <f t="shared" si="155"/>
        <v>41788.143827</v>
      </c>
      <c r="T415" s="57">
        <f t="shared" si="155"/>
        <v>41788.143827</v>
      </c>
      <c r="U415" s="57">
        <f t="shared" si="155"/>
        <v>41788.143827</v>
      </c>
    </row>
    <row r="416" spans="2:21" s="4" customFormat="1" ht="17">
      <c r="B416" s="75" t="s">
        <v>246</v>
      </c>
      <c r="C416" s="24"/>
      <c r="G416" s="57">
        <f>+G414-G415</f>
        <v>-149.61323034000088</v>
      </c>
      <c r="H416" s="57">
        <f t="shared" ref="H416:U416" si="156">+H414-H415</f>
        <v>-149.61323034000088</v>
      </c>
      <c r="I416" s="57">
        <f t="shared" si="156"/>
        <v>1653.066671994784</v>
      </c>
      <c r="J416" s="57">
        <f t="shared" si="156"/>
        <v>3799.302218367091</v>
      </c>
      <c r="K416" s="57">
        <f t="shared" si="156"/>
        <v>3799.302218367091</v>
      </c>
      <c r="L416" s="57">
        <f t="shared" si="156"/>
        <v>3799.302218367091</v>
      </c>
      <c r="M416" s="57">
        <f t="shared" si="156"/>
        <v>3799.302218367091</v>
      </c>
      <c r="N416" s="57">
        <f t="shared" si="156"/>
        <v>3799.302218367091</v>
      </c>
      <c r="O416" s="57">
        <f t="shared" si="156"/>
        <v>3799.302218367091</v>
      </c>
      <c r="P416" s="57">
        <f t="shared" si="156"/>
        <v>3799.302218367091</v>
      </c>
      <c r="Q416" s="57">
        <f t="shared" si="156"/>
        <v>3799.302218367091</v>
      </c>
      <c r="R416" s="57">
        <f t="shared" si="156"/>
        <v>3799.302218367091</v>
      </c>
      <c r="S416" s="57">
        <f t="shared" si="156"/>
        <v>3799.302218367091</v>
      </c>
      <c r="T416" s="57">
        <f t="shared" si="156"/>
        <v>3799.302218367091</v>
      </c>
      <c r="U416" s="57">
        <f t="shared" si="156"/>
        <v>3799.302218367091</v>
      </c>
    </row>
    <row r="417" spans="2:21" s="4" customFormat="1" ht="17">
      <c r="B417" s="75" t="s">
        <v>5</v>
      </c>
      <c r="C417" s="24"/>
      <c r="G417" s="57">
        <f>+G253+G221</f>
        <v>0</v>
      </c>
      <c r="H417" s="57">
        <f t="shared" ref="H417:U417" si="157">+H253+H221</f>
        <v>0</v>
      </c>
      <c r="I417" s="57">
        <f t="shared" si="157"/>
        <v>0</v>
      </c>
      <c r="J417" s="57">
        <f t="shared" si="157"/>
        <v>2224.4723293620882</v>
      </c>
      <c r="K417" s="57">
        <f t="shared" si="157"/>
        <v>1724.443119345</v>
      </c>
      <c r="L417" s="57">
        <f t="shared" si="157"/>
        <v>0</v>
      </c>
      <c r="M417" s="57">
        <f t="shared" si="157"/>
        <v>0</v>
      </c>
      <c r="N417" s="57">
        <f t="shared" si="157"/>
        <v>0</v>
      </c>
      <c r="O417" s="57">
        <f t="shared" si="157"/>
        <v>0</v>
      </c>
      <c r="P417" s="57">
        <f t="shared" si="157"/>
        <v>0</v>
      </c>
      <c r="Q417" s="57">
        <f t="shared" si="157"/>
        <v>0</v>
      </c>
      <c r="R417" s="57">
        <f t="shared" si="157"/>
        <v>0</v>
      </c>
      <c r="S417" s="57">
        <f t="shared" si="157"/>
        <v>0</v>
      </c>
      <c r="T417" s="57">
        <f t="shared" si="157"/>
        <v>0</v>
      </c>
      <c r="U417" s="57">
        <f t="shared" si="157"/>
        <v>0</v>
      </c>
    </row>
    <row r="418" spans="2:21" s="4" customFormat="1" ht="17">
      <c r="B418" s="75" t="s">
        <v>245</v>
      </c>
      <c r="C418" s="24"/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</row>
    <row r="419" spans="2:21" s="4" customFormat="1" ht="17">
      <c r="B419" s="126" t="s">
        <v>48</v>
      </c>
      <c r="C419" s="127"/>
      <c r="D419" s="15"/>
      <c r="E419" s="15"/>
      <c r="F419" s="15"/>
      <c r="G419" s="15" t="s">
        <v>302</v>
      </c>
      <c r="H419" s="15" t="s">
        <v>303</v>
      </c>
      <c r="I419" s="15" t="s">
        <v>304</v>
      </c>
      <c r="J419" s="15" t="s">
        <v>305</v>
      </c>
      <c r="K419" s="15" t="s">
        <v>306</v>
      </c>
      <c r="L419" s="15" t="s">
        <v>307</v>
      </c>
      <c r="M419" s="15" t="s">
        <v>308</v>
      </c>
      <c r="N419" s="15" t="s">
        <v>309</v>
      </c>
      <c r="O419" s="4" t="s">
        <v>310</v>
      </c>
      <c r="P419" s="4" t="s">
        <v>311</v>
      </c>
      <c r="Q419" s="4" t="s">
        <v>312</v>
      </c>
      <c r="R419" s="4" t="s">
        <v>313</v>
      </c>
      <c r="S419" s="4" t="s">
        <v>314</v>
      </c>
    </row>
    <row r="420" spans="2:21" s="4" customFormat="1" ht="17">
      <c r="B420" s="128" t="s">
        <v>2</v>
      </c>
      <c r="C420" s="127"/>
      <c r="D420" s="15"/>
      <c r="E420" s="15"/>
      <c r="F420" s="15"/>
      <c r="G420" s="129">
        <f>+G276+G308+G340+G372</f>
        <v>0</v>
      </c>
      <c r="H420" s="129">
        <f>+H276+H308+H340+H372-H377/2-H345/2-H313/2-H281/2</f>
        <v>3809.1027545999996</v>
      </c>
      <c r="I420" s="129">
        <f t="shared" ref="I420:N420" si="158">+I276+I308+I340+I372-I377/2-I345/2-I313/2-I281/2</f>
        <v>13552.095315973582</v>
      </c>
      <c r="J420" s="129">
        <f t="shared" si="158"/>
        <v>23796.279935794999</v>
      </c>
      <c r="K420" s="129">
        <f t="shared" si="158"/>
        <v>33798.062254819997</v>
      </c>
      <c r="L420" s="129">
        <f t="shared" si="158"/>
        <v>43053.469480125001</v>
      </c>
      <c r="M420" s="129">
        <f t="shared" si="158"/>
        <v>54733.516195800003</v>
      </c>
      <c r="N420" s="129">
        <f t="shared" si="158"/>
        <v>54733.516195800003</v>
      </c>
      <c r="O420" s="57">
        <f t="shared" ref="O420:U420" si="159">+O276+O308+O340+O372</f>
        <v>55929.0761958</v>
      </c>
      <c r="P420" s="57">
        <f t="shared" si="159"/>
        <v>55929.0761958</v>
      </c>
      <c r="Q420" s="57">
        <f t="shared" si="159"/>
        <v>55929.0761958</v>
      </c>
      <c r="R420" s="57">
        <f t="shared" si="159"/>
        <v>55929.0761958</v>
      </c>
      <c r="S420" s="57">
        <f t="shared" si="159"/>
        <v>55929.0761958</v>
      </c>
      <c r="T420" s="57">
        <f t="shared" si="159"/>
        <v>55929.0761958</v>
      </c>
      <c r="U420" s="57">
        <f t="shared" si="159"/>
        <v>55929.0761958</v>
      </c>
    </row>
    <row r="421" spans="2:21" s="4" customFormat="1" ht="17">
      <c r="B421" s="128" t="s">
        <v>59</v>
      </c>
      <c r="C421" s="127"/>
      <c r="D421" s="15"/>
      <c r="E421" s="15"/>
      <c r="F421" s="15"/>
      <c r="G421" s="129">
        <f>+G282+G314+G346+G378</f>
        <v>0</v>
      </c>
      <c r="H421" s="129">
        <f t="shared" ref="H421:U421" si="160">+H282+H314+H346+H378</f>
        <v>3283.2221993999992</v>
      </c>
      <c r="I421" s="129">
        <f t="shared" si="160"/>
        <v>11678.635619451903</v>
      </c>
      <c r="J421" s="129">
        <f t="shared" si="160"/>
        <v>20478.900956254998</v>
      </c>
      <c r="K421" s="129">
        <f t="shared" si="160"/>
        <v>29047.557696979999</v>
      </c>
      <c r="L421" s="129">
        <f t="shared" si="160"/>
        <v>36960.146343624998</v>
      </c>
      <c r="M421" s="129">
        <f t="shared" si="160"/>
        <v>46925.831846200002</v>
      </c>
      <c r="N421" s="129">
        <f t="shared" si="160"/>
        <v>46925.831846200002</v>
      </c>
      <c r="O421" s="57">
        <f t="shared" si="160"/>
        <v>46925.831846200002</v>
      </c>
      <c r="P421" s="57">
        <f t="shared" si="160"/>
        <v>46925.831846200002</v>
      </c>
      <c r="Q421" s="57">
        <f t="shared" si="160"/>
        <v>46925.831846200002</v>
      </c>
      <c r="R421" s="57">
        <f t="shared" si="160"/>
        <v>46925.831846200002</v>
      </c>
      <c r="S421" s="57">
        <f t="shared" si="160"/>
        <v>46925.831846200002</v>
      </c>
      <c r="T421" s="57">
        <f t="shared" si="160"/>
        <v>46925.831846200002</v>
      </c>
      <c r="U421" s="57">
        <f t="shared" si="160"/>
        <v>46925.831846200002</v>
      </c>
    </row>
    <row r="422" spans="2:21" s="4" customFormat="1" ht="17">
      <c r="B422" s="128" t="s">
        <v>246</v>
      </c>
      <c r="C422" s="127"/>
      <c r="D422" s="15"/>
      <c r="E422" s="15"/>
      <c r="F422" s="15"/>
      <c r="G422" s="129">
        <f>+G420-G421</f>
        <v>0</v>
      </c>
      <c r="H422" s="129">
        <f t="shared" ref="H422:U422" si="161">+H420-H421</f>
        <v>525.88055520000034</v>
      </c>
      <c r="I422" s="129">
        <f t="shared" si="161"/>
        <v>1873.4596965216788</v>
      </c>
      <c r="J422" s="129">
        <f t="shared" si="161"/>
        <v>3317.3789795400007</v>
      </c>
      <c r="K422" s="129">
        <f t="shared" si="161"/>
        <v>4750.5045578399986</v>
      </c>
      <c r="L422" s="129">
        <f t="shared" si="161"/>
        <v>6093.3231365000029</v>
      </c>
      <c r="M422" s="129">
        <f t="shared" si="161"/>
        <v>7807.6843496000001</v>
      </c>
      <c r="N422" s="129">
        <f t="shared" si="161"/>
        <v>7807.6843496000001</v>
      </c>
      <c r="O422" s="57">
        <f t="shared" si="161"/>
        <v>9003.2443495999978</v>
      </c>
      <c r="P422" s="57">
        <f t="shared" si="161"/>
        <v>9003.2443495999978</v>
      </c>
      <c r="Q422" s="57">
        <f t="shared" si="161"/>
        <v>9003.2443495999978</v>
      </c>
      <c r="R422" s="57">
        <f t="shared" si="161"/>
        <v>9003.2443495999978</v>
      </c>
      <c r="S422" s="57">
        <f t="shared" si="161"/>
        <v>9003.2443495999978</v>
      </c>
      <c r="T422" s="57">
        <f t="shared" si="161"/>
        <v>9003.2443495999978</v>
      </c>
      <c r="U422" s="57">
        <f t="shared" si="161"/>
        <v>9003.2443495999978</v>
      </c>
    </row>
    <row r="423" spans="2:21" s="4" customFormat="1" ht="17">
      <c r="B423" s="128" t="s">
        <v>5</v>
      </c>
      <c r="C423" s="127"/>
      <c r="D423" s="15"/>
      <c r="E423" s="15"/>
      <c r="F423" s="15"/>
      <c r="G423" s="129">
        <f>+(G285+G317+G349+G381)/2</f>
        <v>-700</v>
      </c>
      <c r="H423" s="129">
        <f>+(H285+H317+H349+H381)/2</f>
        <v>-200</v>
      </c>
      <c r="I423" s="129">
        <f>+I285+I317+I349+I381</f>
        <v>104.46836400000001</v>
      </c>
      <c r="J423" s="129">
        <f>+(J285+J317+J349+J381)-(J383+J389+J351+J357+J319+J325+J287+J293)/2</f>
        <v>1423.2418200000002</v>
      </c>
      <c r="K423" s="129">
        <f t="shared" ref="K423:R423" si="162">+(K285+K317+K349+K381)-(K383+K389+K351+K357+K319+K325+K287+K293)/2</f>
        <v>2275.1321123999996</v>
      </c>
      <c r="L423" s="129">
        <f t="shared" si="162"/>
        <v>1482.4104015999997</v>
      </c>
      <c r="M423" s="129">
        <f t="shared" si="162"/>
        <v>3024.7691516000004</v>
      </c>
      <c r="N423" s="129">
        <f t="shared" si="162"/>
        <v>397.66249999999997</v>
      </c>
      <c r="O423" s="129">
        <f t="shared" si="162"/>
        <v>0</v>
      </c>
      <c r="P423" s="129">
        <f t="shared" si="162"/>
        <v>0</v>
      </c>
      <c r="Q423" s="129">
        <f t="shared" si="162"/>
        <v>0</v>
      </c>
      <c r="R423" s="129">
        <f t="shared" si="162"/>
        <v>0</v>
      </c>
      <c r="S423" s="57">
        <f>+S285+S317+S349+S381</f>
        <v>0</v>
      </c>
      <c r="T423" s="57">
        <f>+T285+T317+T349+T381</f>
        <v>0</v>
      </c>
      <c r="U423" s="57">
        <f>+U285+U317+U349+U381</f>
        <v>0</v>
      </c>
    </row>
    <row r="424" spans="2:21" s="4" customFormat="1" ht="17">
      <c r="B424" s="75" t="s">
        <v>245</v>
      </c>
      <c r="C424" s="24"/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</row>
    <row r="425" spans="2:21" s="4" customFormat="1">
      <c r="B425" s="131"/>
      <c r="C425" s="24"/>
      <c r="G425" s="57"/>
      <c r="H425" s="57"/>
      <c r="J425" s="57"/>
      <c r="K425" s="57"/>
      <c r="L425" s="57"/>
      <c r="M425" s="57"/>
      <c r="N425" s="57"/>
      <c r="O425" s="57"/>
      <c r="P425" s="57"/>
    </row>
    <row r="426" spans="2:21" s="4" customFormat="1">
      <c r="B426" s="25"/>
      <c r="C426" s="24"/>
      <c r="H426" s="57">
        <f>+H427-G427</f>
        <v>35175.891236432304</v>
      </c>
      <c r="J426" s="130"/>
    </row>
    <row r="427" spans="2:21" s="4" customFormat="1" ht="17">
      <c r="B427" s="25" t="s">
        <v>2</v>
      </c>
      <c r="C427" s="24"/>
      <c r="D427" s="57">
        <f>+P427</f>
        <v>194825.83219644113</v>
      </c>
      <c r="G427" s="57">
        <f>+G396+G402+G408+G414+G420</f>
        <v>58458.193707806</v>
      </c>
      <c r="H427" s="57">
        <f t="shared" ref="H427:U427" si="163">+H396+H402+H408+H414+H420</f>
        <v>93634.084944238304</v>
      </c>
      <c r="I427" s="57">
        <f t="shared" si="163"/>
        <v>121323.49095202948</v>
      </c>
      <c r="J427" s="57">
        <f t="shared" si="163"/>
        <v>162693.03593643612</v>
      </c>
      <c r="K427" s="57">
        <f t="shared" si="163"/>
        <v>172694.81825546111</v>
      </c>
      <c r="L427" s="57">
        <f t="shared" si="163"/>
        <v>181950.22548076612</v>
      </c>
      <c r="M427" s="57">
        <f t="shared" si="163"/>
        <v>193630.27219644113</v>
      </c>
      <c r="N427" s="57">
        <f t="shared" si="163"/>
        <v>193630.27219644113</v>
      </c>
      <c r="O427" s="57">
        <f t="shared" si="163"/>
        <v>194825.83219644113</v>
      </c>
      <c r="P427" s="57">
        <f t="shared" si="163"/>
        <v>194825.83219644113</v>
      </c>
      <c r="Q427" s="57">
        <f t="shared" si="163"/>
        <v>194825.83219644113</v>
      </c>
      <c r="R427" s="57">
        <f t="shared" si="163"/>
        <v>194825.83219644113</v>
      </c>
      <c r="S427" s="57">
        <f t="shared" si="163"/>
        <v>194825.83219644113</v>
      </c>
      <c r="T427" s="57">
        <f t="shared" si="163"/>
        <v>194825.83219644113</v>
      </c>
      <c r="U427" s="57">
        <f t="shared" si="163"/>
        <v>194825.83219644113</v>
      </c>
    </row>
    <row r="428" spans="2:21" s="4" customFormat="1" ht="17">
      <c r="B428" s="25" t="s">
        <v>59</v>
      </c>
      <c r="C428" s="24"/>
      <c r="G428" s="57">
        <f t="shared" ref="G428:U428" si="164">+G397+G403+G409+G415+G421</f>
        <v>52708.913061129089</v>
      </c>
      <c r="H428" s="57">
        <f t="shared" si="164"/>
        <v>81842.959857876485</v>
      </c>
      <c r="I428" s="57">
        <f t="shared" si="164"/>
        <v>104696.70462581818</v>
      </c>
      <c r="J428" s="57">
        <f t="shared" si="164"/>
        <v>139629.04771922249</v>
      </c>
      <c r="K428" s="57">
        <f t="shared" si="164"/>
        <v>148197.70445994748</v>
      </c>
      <c r="L428" s="57">
        <f t="shared" si="164"/>
        <v>156110.29310659249</v>
      </c>
      <c r="M428" s="57">
        <f t="shared" si="164"/>
        <v>166075.97860916751</v>
      </c>
      <c r="N428" s="57">
        <f t="shared" si="164"/>
        <v>166075.97860916751</v>
      </c>
      <c r="O428" s="57">
        <f t="shared" si="164"/>
        <v>166075.97860916751</v>
      </c>
      <c r="P428" s="57">
        <f t="shared" si="164"/>
        <v>166075.97860916751</v>
      </c>
      <c r="Q428" s="57">
        <f t="shared" si="164"/>
        <v>166075.97860916751</v>
      </c>
      <c r="R428" s="57">
        <f t="shared" si="164"/>
        <v>166075.97860916751</v>
      </c>
      <c r="S428" s="57">
        <f t="shared" si="164"/>
        <v>166075.97860916751</v>
      </c>
      <c r="T428" s="57">
        <f t="shared" si="164"/>
        <v>166075.97860916751</v>
      </c>
      <c r="U428" s="57">
        <f t="shared" si="164"/>
        <v>166075.97860916751</v>
      </c>
    </row>
    <row r="429" spans="2:21" s="4" customFormat="1" ht="17">
      <c r="B429" s="25" t="s">
        <v>246</v>
      </c>
      <c r="C429" s="24"/>
      <c r="G429" s="57">
        <f t="shared" ref="G429:U429" si="165">+G398+G404+G410+G416+G422</f>
        <v>5749.2806466769152</v>
      </c>
      <c r="H429" s="57">
        <f t="shared" si="165"/>
        <v>11791.125086361833</v>
      </c>
      <c r="I429" s="57">
        <f t="shared" si="165"/>
        <v>16626.786326211295</v>
      </c>
      <c r="J429" s="57">
        <f t="shared" si="165"/>
        <v>23063.988217213649</v>
      </c>
      <c r="K429" s="57">
        <f t="shared" si="165"/>
        <v>24497.113795513647</v>
      </c>
      <c r="L429" s="57">
        <f t="shared" si="165"/>
        <v>25839.932374173652</v>
      </c>
      <c r="M429" s="57">
        <f t="shared" si="165"/>
        <v>27554.293587273649</v>
      </c>
      <c r="N429" s="57">
        <f t="shared" si="165"/>
        <v>27554.293587273649</v>
      </c>
      <c r="O429" s="57">
        <f t="shared" si="165"/>
        <v>28749.853587273647</v>
      </c>
      <c r="P429" s="57">
        <f t="shared" si="165"/>
        <v>28749.853587273647</v>
      </c>
      <c r="Q429" s="57">
        <f t="shared" si="165"/>
        <v>28749.853587273647</v>
      </c>
      <c r="R429" s="57">
        <f t="shared" si="165"/>
        <v>28749.853587273647</v>
      </c>
      <c r="S429" s="57">
        <f t="shared" si="165"/>
        <v>28749.853587273647</v>
      </c>
      <c r="T429" s="57">
        <f t="shared" si="165"/>
        <v>28749.853587273647</v>
      </c>
      <c r="U429" s="57">
        <f t="shared" si="165"/>
        <v>28749.853587273647</v>
      </c>
    </row>
    <row r="430" spans="2:21" s="4" customFormat="1" ht="17">
      <c r="B430" s="25" t="s">
        <v>5</v>
      </c>
      <c r="C430" s="24"/>
      <c r="G430" s="57">
        <f t="shared" ref="G430:U430" si="166">+G399+G405+G411+G417+G423</f>
        <v>-2066</v>
      </c>
      <c r="H430" s="57">
        <f t="shared" si="166"/>
        <v>3502.3816528711086</v>
      </c>
      <c r="I430" s="57">
        <f t="shared" si="166"/>
        <v>12081.782287847029</v>
      </c>
      <c r="J430" s="57">
        <f t="shared" si="166"/>
        <v>8707.4523616068109</v>
      </c>
      <c r="K430" s="57">
        <f t="shared" si="166"/>
        <v>4692.5100143536947</v>
      </c>
      <c r="L430" s="57">
        <f t="shared" si="166"/>
        <v>1482.4104015999997</v>
      </c>
      <c r="M430" s="57">
        <f t="shared" si="166"/>
        <v>3024.7691516000004</v>
      </c>
      <c r="N430" s="57">
        <f t="shared" si="166"/>
        <v>397.66249999999997</v>
      </c>
      <c r="O430" s="57">
        <f t="shared" si="166"/>
        <v>0</v>
      </c>
      <c r="P430" s="57">
        <f t="shared" si="166"/>
        <v>0</v>
      </c>
      <c r="Q430" s="57">
        <f t="shared" si="166"/>
        <v>0</v>
      </c>
      <c r="R430" s="57">
        <f t="shared" si="166"/>
        <v>0</v>
      </c>
      <c r="S430" s="57">
        <f t="shared" si="166"/>
        <v>0</v>
      </c>
      <c r="T430" s="57">
        <f t="shared" si="166"/>
        <v>0</v>
      </c>
      <c r="U430" s="57">
        <f t="shared" si="166"/>
        <v>0</v>
      </c>
    </row>
    <row r="431" spans="2:21" s="4" customFormat="1" ht="17">
      <c r="B431" s="25" t="s">
        <v>252</v>
      </c>
      <c r="C431" s="24"/>
      <c r="G431" s="57">
        <f>+G400</f>
        <v>0</v>
      </c>
      <c r="H431" s="57">
        <f t="shared" ref="H431:U431" si="167">+H400</f>
        <v>3824.6306370000002</v>
      </c>
      <c r="I431" s="57">
        <f t="shared" si="167"/>
        <v>5618.1225699999995</v>
      </c>
      <c r="J431" s="57">
        <f t="shared" si="167"/>
        <v>0</v>
      </c>
      <c r="K431" s="57">
        <f t="shared" si="167"/>
        <v>0</v>
      </c>
      <c r="L431" s="57">
        <f t="shared" si="167"/>
        <v>0</v>
      </c>
      <c r="M431" s="57">
        <f t="shared" si="167"/>
        <v>0</v>
      </c>
      <c r="N431" s="57">
        <f t="shared" si="167"/>
        <v>0</v>
      </c>
      <c r="O431" s="57">
        <f t="shared" si="167"/>
        <v>0</v>
      </c>
      <c r="P431" s="57">
        <f t="shared" si="167"/>
        <v>0</v>
      </c>
      <c r="Q431" s="57">
        <f t="shared" si="167"/>
        <v>0</v>
      </c>
      <c r="R431" s="57">
        <f t="shared" si="167"/>
        <v>0</v>
      </c>
      <c r="S431" s="57">
        <f t="shared" si="167"/>
        <v>0</v>
      </c>
      <c r="T431" s="57">
        <f t="shared" si="167"/>
        <v>0</v>
      </c>
      <c r="U431" s="57">
        <f t="shared" si="167"/>
        <v>0</v>
      </c>
    </row>
    <row r="432" spans="2:21" s="4" customFormat="1" ht="17">
      <c r="B432" s="25" t="s">
        <v>253</v>
      </c>
      <c r="C432" s="24"/>
      <c r="G432" s="57">
        <f>+G406+G412+G418+G424</f>
        <v>0</v>
      </c>
      <c r="H432" s="57">
        <f t="shared" ref="H432:U432" si="168">+H406+H412+H418+H424</f>
        <v>0</v>
      </c>
      <c r="I432" s="57">
        <f t="shared" si="168"/>
        <v>3426.1267696563045</v>
      </c>
      <c r="J432" s="57">
        <f t="shared" si="168"/>
        <v>0</v>
      </c>
      <c r="K432" s="57">
        <f t="shared" si="168"/>
        <v>692.93478260869563</v>
      </c>
      <c r="L432" s="57">
        <f t="shared" si="168"/>
        <v>0</v>
      </c>
      <c r="M432" s="57">
        <f t="shared" si="168"/>
        <v>0</v>
      </c>
      <c r="N432" s="57">
        <f t="shared" si="168"/>
        <v>0</v>
      </c>
      <c r="O432" s="57">
        <f t="shared" si="168"/>
        <v>0</v>
      </c>
      <c r="P432" s="57">
        <f t="shared" si="168"/>
        <v>0</v>
      </c>
      <c r="Q432" s="57">
        <f t="shared" si="168"/>
        <v>0</v>
      </c>
      <c r="R432" s="57">
        <f t="shared" si="168"/>
        <v>0</v>
      </c>
      <c r="S432" s="57">
        <f t="shared" si="168"/>
        <v>0</v>
      </c>
      <c r="T432" s="57">
        <f t="shared" si="168"/>
        <v>0</v>
      </c>
      <c r="U432" s="57">
        <f t="shared" si="168"/>
        <v>0</v>
      </c>
    </row>
    <row r="433" spans="2:27" s="4" customFormat="1">
      <c r="B433" s="25"/>
      <c r="C433" s="24"/>
    </row>
    <row r="434" spans="2:27" s="4" customFormat="1">
      <c r="B434" s="25"/>
      <c r="C434" s="24"/>
    </row>
    <row r="435" spans="2:27" s="4" customFormat="1" ht="17">
      <c r="B435" s="76" t="s">
        <v>7</v>
      </c>
      <c r="C435" s="24"/>
    </row>
    <row r="436" spans="2:27" s="4" customFormat="1" ht="17">
      <c r="B436" s="75" t="s">
        <v>2</v>
      </c>
      <c r="C436" s="153">
        <f>+D436/$D$427</f>
        <v>4.4745199759804967E-3</v>
      </c>
      <c r="D436" s="65">
        <f>+SUM(G436:U436)</f>
        <v>871.7520780000001</v>
      </c>
      <c r="G436" s="68">
        <f>+SUM(G437:G441)</f>
        <v>316.20341450880005</v>
      </c>
      <c r="H436" s="68">
        <f t="shared" ref="H436:AA436" si="169">+SUM(H437:H441)</f>
        <v>254.96874749120002</v>
      </c>
      <c r="I436" s="68">
        <f t="shared" si="169"/>
        <v>57.272285833225808</v>
      </c>
      <c r="J436" s="68">
        <f t="shared" si="169"/>
        <v>60.357973016774196</v>
      </c>
      <c r="K436" s="68">
        <f t="shared" si="169"/>
        <v>59.050455749999998</v>
      </c>
      <c r="L436" s="68">
        <f t="shared" si="169"/>
        <v>54.729786150000024</v>
      </c>
      <c r="M436" s="68">
        <f t="shared" si="169"/>
        <v>69.169415250000014</v>
      </c>
      <c r="N436" s="68">
        <f t="shared" si="169"/>
        <v>0</v>
      </c>
      <c r="O436" s="68">
        <f t="shared" si="169"/>
        <v>0</v>
      </c>
      <c r="P436" s="68">
        <f t="shared" si="169"/>
        <v>0</v>
      </c>
      <c r="Q436" s="68">
        <f t="shared" si="169"/>
        <v>0</v>
      </c>
      <c r="R436" s="68">
        <f t="shared" si="169"/>
        <v>0</v>
      </c>
      <c r="S436" s="68">
        <f t="shared" si="169"/>
        <v>0</v>
      </c>
      <c r="T436" s="68">
        <f t="shared" si="169"/>
        <v>0</v>
      </c>
      <c r="U436" s="68">
        <f t="shared" si="169"/>
        <v>0</v>
      </c>
      <c r="V436" s="68">
        <f t="shared" si="169"/>
        <v>0</v>
      </c>
      <c r="W436" s="68">
        <f t="shared" si="169"/>
        <v>0</v>
      </c>
      <c r="X436" s="68">
        <f t="shared" si="169"/>
        <v>0</v>
      </c>
      <c r="Y436" s="68">
        <f t="shared" si="169"/>
        <v>0</v>
      </c>
      <c r="Z436" s="68">
        <f t="shared" si="169"/>
        <v>0</v>
      </c>
      <c r="AA436" s="68">
        <f t="shared" si="169"/>
        <v>0</v>
      </c>
    </row>
    <row r="437" spans="2:27" s="4" customFormat="1" ht="17" outlineLevel="1">
      <c r="B437" s="25" t="s">
        <v>43</v>
      </c>
      <c r="C437" s="24"/>
      <c r="D437" s="65">
        <f>+SUM(G437:U437)</f>
        <v>0</v>
      </c>
      <c r="G437" s="57">
        <f>+G21+G53-F21-F53</f>
        <v>0</v>
      </c>
      <c r="H437" s="57">
        <f t="shared" ref="H437:U437" si="170">+H21+H53-G21-G53</f>
        <v>0</v>
      </c>
      <c r="I437" s="57">
        <f t="shared" si="170"/>
        <v>0</v>
      </c>
      <c r="J437" s="57">
        <f t="shared" si="170"/>
        <v>0</v>
      </c>
      <c r="K437" s="57">
        <f t="shared" si="170"/>
        <v>0</v>
      </c>
      <c r="L437" s="57">
        <f t="shared" si="170"/>
        <v>0</v>
      </c>
      <c r="M437" s="57">
        <f t="shared" si="170"/>
        <v>0</v>
      </c>
      <c r="N437" s="57">
        <f t="shared" si="170"/>
        <v>0</v>
      </c>
      <c r="O437" s="57">
        <f t="shared" si="170"/>
        <v>0</v>
      </c>
      <c r="P437" s="57">
        <f t="shared" si="170"/>
        <v>0</v>
      </c>
      <c r="Q437" s="57">
        <f t="shared" si="170"/>
        <v>0</v>
      </c>
      <c r="R437" s="57">
        <f t="shared" si="170"/>
        <v>0</v>
      </c>
      <c r="S437" s="57">
        <f t="shared" si="170"/>
        <v>0</v>
      </c>
      <c r="T437" s="57">
        <f t="shared" si="170"/>
        <v>0</v>
      </c>
      <c r="U437" s="57">
        <f t="shared" si="170"/>
        <v>0</v>
      </c>
    </row>
    <row r="438" spans="2:27" s="4" customFormat="1" ht="17" outlineLevel="1">
      <c r="B438" s="25" t="s">
        <v>44</v>
      </c>
      <c r="C438" s="24"/>
      <c r="D438" s="65">
        <f t="shared" ref="D438:D501" si="171">+SUM(G438:U438)</f>
        <v>0</v>
      </c>
      <c r="G438" s="57">
        <f>+G85+G117-F85-F117</f>
        <v>0</v>
      </c>
      <c r="H438" s="57">
        <f t="shared" ref="H438:U438" si="172">+H85+H117-G85-G117</f>
        <v>0</v>
      </c>
      <c r="I438" s="57">
        <f t="shared" si="172"/>
        <v>0</v>
      </c>
      <c r="J438" s="57">
        <f t="shared" si="172"/>
        <v>0</v>
      </c>
      <c r="K438" s="57">
        <f t="shared" si="172"/>
        <v>0</v>
      </c>
      <c r="L438" s="57">
        <f t="shared" si="172"/>
        <v>0</v>
      </c>
      <c r="M438" s="57">
        <f t="shared" si="172"/>
        <v>0</v>
      </c>
      <c r="N438" s="57">
        <f t="shared" si="172"/>
        <v>0</v>
      </c>
      <c r="O438" s="57">
        <f t="shared" si="172"/>
        <v>0</v>
      </c>
      <c r="P438" s="57">
        <f t="shared" si="172"/>
        <v>0</v>
      </c>
      <c r="Q438" s="57">
        <f t="shared" si="172"/>
        <v>0</v>
      </c>
      <c r="R438" s="57">
        <f t="shared" si="172"/>
        <v>0</v>
      </c>
      <c r="S438" s="57">
        <f t="shared" si="172"/>
        <v>0</v>
      </c>
      <c r="T438" s="57">
        <f t="shared" si="172"/>
        <v>0</v>
      </c>
      <c r="U438" s="57">
        <f t="shared" si="172"/>
        <v>0</v>
      </c>
    </row>
    <row r="439" spans="2:27" s="4" customFormat="1" ht="17" outlineLevel="1">
      <c r="B439" s="25" t="s">
        <v>47</v>
      </c>
      <c r="C439" s="24"/>
      <c r="D439" s="65">
        <f t="shared" si="171"/>
        <v>548.78608400000007</v>
      </c>
      <c r="G439" s="57">
        <f>+IF(G181-F181&lt;0,0,G181-F181)</f>
        <v>316.20341450880005</v>
      </c>
      <c r="H439" s="57">
        <f t="shared" ref="H439:U439" si="173">+IF(H181-G181&lt;0,0,H181-G181)</f>
        <v>232.58266949120002</v>
      </c>
      <c r="I439" s="57">
        <f t="shared" si="173"/>
        <v>0</v>
      </c>
      <c r="J439" s="57">
        <f t="shared" si="173"/>
        <v>0</v>
      </c>
      <c r="K439" s="57">
        <f t="shared" si="173"/>
        <v>0</v>
      </c>
      <c r="L439" s="57">
        <f t="shared" si="173"/>
        <v>0</v>
      </c>
      <c r="M439" s="57">
        <f t="shared" si="173"/>
        <v>0</v>
      </c>
      <c r="N439" s="57">
        <f t="shared" si="173"/>
        <v>0</v>
      </c>
      <c r="O439" s="57">
        <f t="shared" si="173"/>
        <v>0</v>
      </c>
      <c r="P439" s="57">
        <f t="shared" si="173"/>
        <v>0</v>
      </c>
      <c r="Q439" s="57">
        <f t="shared" si="173"/>
        <v>0</v>
      </c>
      <c r="R439" s="57">
        <f t="shared" si="173"/>
        <v>0</v>
      </c>
      <c r="S439" s="57">
        <f t="shared" si="173"/>
        <v>0</v>
      </c>
      <c r="T439" s="57">
        <f t="shared" si="173"/>
        <v>0</v>
      </c>
      <c r="U439" s="57">
        <f t="shared" si="173"/>
        <v>0</v>
      </c>
    </row>
    <row r="440" spans="2:27" s="4" customFormat="1" ht="17" outlineLevel="1">
      <c r="B440" s="25" t="s">
        <v>49</v>
      </c>
      <c r="C440" s="24"/>
      <c r="D440" s="65">
        <f t="shared" si="171"/>
        <v>0</v>
      </c>
      <c r="G440" s="57">
        <f>+G213+G245-F21-F245</f>
        <v>0</v>
      </c>
      <c r="H440" s="57">
        <f t="shared" ref="H440:U440" si="174">+H213+H245-G21-G245</f>
        <v>0</v>
      </c>
      <c r="I440" s="57">
        <f t="shared" si="174"/>
        <v>0</v>
      </c>
      <c r="J440" s="57">
        <f t="shared" si="174"/>
        <v>0</v>
      </c>
      <c r="K440" s="57">
        <f t="shared" si="174"/>
        <v>0</v>
      </c>
      <c r="L440" s="57">
        <f t="shared" si="174"/>
        <v>0</v>
      </c>
      <c r="M440" s="57">
        <f t="shared" si="174"/>
        <v>0</v>
      </c>
      <c r="N440" s="57">
        <f t="shared" si="174"/>
        <v>0</v>
      </c>
      <c r="O440" s="57">
        <f t="shared" si="174"/>
        <v>0</v>
      </c>
      <c r="P440" s="57">
        <f t="shared" si="174"/>
        <v>0</v>
      </c>
      <c r="Q440" s="57">
        <f t="shared" si="174"/>
        <v>0</v>
      </c>
      <c r="R440" s="57">
        <f t="shared" si="174"/>
        <v>0</v>
      </c>
      <c r="S440" s="57">
        <f t="shared" si="174"/>
        <v>0</v>
      </c>
      <c r="T440" s="57">
        <f t="shared" si="174"/>
        <v>0</v>
      </c>
      <c r="U440" s="57">
        <f t="shared" si="174"/>
        <v>0</v>
      </c>
    </row>
    <row r="441" spans="2:27" s="4" customFormat="1" ht="17" outlineLevel="1">
      <c r="B441" s="25" t="s">
        <v>48</v>
      </c>
      <c r="C441" s="24"/>
      <c r="D441" s="65">
        <f t="shared" si="171"/>
        <v>322.96599400000002</v>
      </c>
      <c r="G441" s="57">
        <f>+G373+G341+G309+G277-F373-F341-F309-F277</f>
        <v>0</v>
      </c>
      <c r="H441" s="57">
        <f t="shared" ref="H441:U441" si="175">+H373+H341+H309+H277-G373-G341-G309-G277</f>
        <v>22.386078000000001</v>
      </c>
      <c r="I441" s="57">
        <f t="shared" si="175"/>
        <v>57.272285833225808</v>
      </c>
      <c r="J441" s="57">
        <f t="shared" si="175"/>
        <v>60.357973016774196</v>
      </c>
      <c r="K441" s="57">
        <f t="shared" si="175"/>
        <v>59.050455749999998</v>
      </c>
      <c r="L441" s="57">
        <f t="shared" si="175"/>
        <v>54.729786150000024</v>
      </c>
      <c r="M441" s="57">
        <f t="shared" si="175"/>
        <v>69.169415250000014</v>
      </c>
      <c r="N441" s="57">
        <f t="shared" si="175"/>
        <v>0</v>
      </c>
      <c r="O441" s="57">
        <f t="shared" si="175"/>
        <v>0</v>
      </c>
      <c r="P441" s="57">
        <f t="shared" si="175"/>
        <v>0</v>
      </c>
      <c r="Q441" s="57">
        <f t="shared" si="175"/>
        <v>0</v>
      </c>
      <c r="R441" s="57">
        <f t="shared" si="175"/>
        <v>0</v>
      </c>
      <c r="S441" s="57">
        <f t="shared" si="175"/>
        <v>0</v>
      </c>
      <c r="T441" s="57">
        <f t="shared" si="175"/>
        <v>0</v>
      </c>
      <c r="U441" s="57">
        <f t="shared" si="175"/>
        <v>0</v>
      </c>
    </row>
    <row r="442" spans="2:27" s="4" customFormat="1" ht="17">
      <c r="B442" s="75" t="s">
        <v>5</v>
      </c>
      <c r="C442" s="24"/>
      <c r="D442" s="65">
        <f t="shared" si="171"/>
        <v>871.75207800000021</v>
      </c>
      <c r="G442" s="68">
        <f t="shared" ref="G442:AA442" si="176">+SUM(G443:G447)</f>
        <v>0</v>
      </c>
      <c r="H442" s="68">
        <f t="shared" si="176"/>
        <v>0</v>
      </c>
      <c r="I442" s="68">
        <f t="shared" si="176"/>
        <v>623.4063440000001</v>
      </c>
      <c r="J442" s="68">
        <f t="shared" si="176"/>
        <v>0</v>
      </c>
      <c r="K442" s="68">
        <f t="shared" si="176"/>
        <v>76.936560999999998</v>
      </c>
      <c r="L442" s="68">
        <f t="shared" si="176"/>
        <v>79.18328600000001</v>
      </c>
      <c r="M442" s="68">
        <f t="shared" si="176"/>
        <v>92.225887</v>
      </c>
      <c r="N442" s="68">
        <f t="shared" si="176"/>
        <v>0</v>
      </c>
      <c r="O442" s="68">
        <f t="shared" si="176"/>
        <v>0</v>
      </c>
      <c r="P442" s="68">
        <f t="shared" si="176"/>
        <v>0</v>
      </c>
      <c r="Q442" s="68">
        <f t="shared" si="176"/>
        <v>0</v>
      </c>
      <c r="R442" s="68">
        <f t="shared" si="176"/>
        <v>0</v>
      </c>
      <c r="S442" s="68">
        <f t="shared" si="176"/>
        <v>0</v>
      </c>
      <c r="T442" s="68">
        <f t="shared" si="176"/>
        <v>0</v>
      </c>
      <c r="U442" s="68">
        <f t="shared" si="176"/>
        <v>0</v>
      </c>
      <c r="V442" s="68">
        <f t="shared" si="176"/>
        <v>0</v>
      </c>
      <c r="W442" s="68">
        <f t="shared" si="176"/>
        <v>0</v>
      </c>
      <c r="X442" s="68">
        <f t="shared" si="176"/>
        <v>0</v>
      </c>
      <c r="Y442" s="68">
        <f t="shared" si="176"/>
        <v>0</v>
      </c>
      <c r="Z442" s="68">
        <f t="shared" si="176"/>
        <v>0</v>
      </c>
      <c r="AA442" s="68">
        <f t="shared" si="176"/>
        <v>0</v>
      </c>
    </row>
    <row r="443" spans="2:27" s="4" customFormat="1" ht="17" outlineLevel="1">
      <c r="B443" s="25" t="s">
        <v>43</v>
      </c>
      <c r="C443" s="24"/>
      <c r="D443" s="65">
        <f t="shared" si="171"/>
        <v>0</v>
      </c>
      <c r="G443" s="57">
        <f>+G34+G66</f>
        <v>0</v>
      </c>
      <c r="H443" s="57">
        <f t="shared" ref="H443:AA443" si="177">+H34+H66</f>
        <v>0</v>
      </c>
      <c r="I443" s="57">
        <f t="shared" si="177"/>
        <v>0</v>
      </c>
      <c r="J443" s="57">
        <f t="shared" si="177"/>
        <v>0</v>
      </c>
      <c r="K443" s="57">
        <f t="shared" si="177"/>
        <v>0</v>
      </c>
      <c r="L443" s="57">
        <f t="shared" si="177"/>
        <v>0</v>
      </c>
      <c r="M443" s="57">
        <f t="shared" si="177"/>
        <v>0</v>
      </c>
      <c r="N443" s="57">
        <f t="shared" si="177"/>
        <v>0</v>
      </c>
      <c r="O443" s="57">
        <f t="shared" si="177"/>
        <v>0</v>
      </c>
      <c r="P443" s="57">
        <f t="shared" si="177"/>
        <v>0</v>
      </c>
      <c r="Q443" s="57">
        <f t="shared" si="177"/>
        <v>0</v>
      </c>
      <c r="R443" s="57">
        <f t="shared" si="177"/>
        <v>0</v>
      </c>
      <c r="S443" s="57">
        <f t="shared" si="177"/>
        <v>0</v>
      </c>
      <c r="T443" s="57">
        <f t="shared" si="177"/>
        <v>0</v>
      </c>
      <c r="U443" s="57">
        <f t="shared" si="177"/>
        <v>0</v>
      </c>
      <c r="V443" s="57">
        <f t="shared" si="177"/>
        <v>0</v>
      </c>
      <c r="W443" s="57">
        <f t="shared" si="177"/>
        <v>0</v>
      </c>
      <c r="X443" s="57">
        <f t="shared" si="177"/>
        <v>0</v>
      </c>
      <c r="Y443" s="57">
        <f t="shared" si="177"/>
        <v>0</v>
      </c>
      <c r="Z443" s="57">
        <f t="shared" si="177"/>
        <v>0</v>
      </c>
      <c r="AA443" s="57">
        <f t="shared" si="177"/>
        <v>0</v>
      </c>
    </row>
    <row r="444" spans="2:27" s="4" customFormat="1" ht="17" outlineLevel="1">
      <c r="B444" s="25" t="s">
        <v>44</v>
      </c>
      <c r="C444" s="24"/>
      <c r="D444" s="65">
        <f t="shared" si="171"/>
        <v>0</v>
      </c>
      <c r="G444" s="57">
        <f>+G98+G130</f>
        <v>0</v>
      </c>
      <c r="H444" s="57">
        <f t="shared" ref="H444:AA444" si="178">+H98+H130</f>
        <v>0</v>
      </c>
      <c r="I444" s="57">
        <f t="shared" si="178"/>
        <v>0</v>
      </c>
      <c r="J444" s="57">
        <f t="shared" si="178"/>
        <v>0</v>
      </c>
      <c r="K444" s="57">
        <f t="shared" si="178"/>
        <v>0</v>
      </c>
      <c r="L444" s="57">
        <f t="shared" si="178"/>
        <v>0</v>
      </c>
      <c r="M444" s="57">
        <f t="shared" si="178"/>
        <v>0</v>
      </c>
      <c r="N444" s="57">
        <f t="shared" si="178"/>
        <v>0</v>
      </c>
      <c r="O444" s="57">
        <f t="shared" si="178"/>
        <v>0</v>
      </c>
      <c r="P444" s="57">
        <f t="shared" si="178"/>
        <v>0</v>
      </c>
      <c r="Q444" s="57">
        <f t="shared" si="178"/>
        <v>0</v>
      </c>
      <c r="R444" s="57">
        <f t="shared" si="178"/>
        <v>0</v>
      </c>
      <c r="S444" s="57">
        <f t="shared" si="178"/>
        <v>0</v>
      </c>
      <c r="T444" s="57">
        <f t="shared" si="178"/>
        <v>0</v>
      </c>
      <c r="U444" s="57">
        <f t="shared" si="178"/>
        <v>0</v>
      </c>
      <c r="V444" s="57">
        <f t="shared" si="178"/>
        <v>0</v>
      </c>
      <c r="W444" s="57">
        <f t="shared" si="178"/>
        <v>0</v>
      </c>
      <c r="X444" s="57">
        <f t="shared" si="178"/>
        <v>0</v>
      </c>
      <c r="Y444" s="57">
        <f t="shared" si="178"/>
        <v>0</v>
      </c>
      <c r="Z444" s="57">
        <f t="shared" si="178"/>
        <v>0</v>
      </c>
      <c r="AA444" s="57">
        <f t="shared" si="178"/>
        <v>0</v>
      </c>
    </row>
    <row r="445" spans="2:27" s="4" customFormat="1" ht="17" outlineLevel="1">
      <c r="B445" s="25" t="s">
        <v>47</v>
      </c>
      <c r="C445" s="24"/>
      <c r="D445" s="65">
        <f t="shared" si="171"/>
        <v>548.78608400000007</v>
      </c>
      <c r="G445" s="57">
        <f>+G194</f>
        <v>0</v>
      </c>
      <c r="H445" s="57">
        <f t="shared" ref="H445:AA445" si="179">+H194</f>
        <v>0</v>
      </c>
      <c r="I445" s="57">
        <f t="shared" si="179"/>
        <v>548.78608400000007</v>
      </c>
      <c r="J445" s="57">
        <f t="shared" si="179"/>
        <v>0</v>
      </c>
      <c r="K445" s="57">
        <f t="shared" si="179"/>
        <v>0</v>
      </c>
      <c r="L445" s="57">
        <f t="shared" si="179"/>
        <v>0</v>
      </c>
      <c r="M445" s="57">
        <f t="shared" si="179"/>
        <v>0</v>
      </c>
      <c r="N445" s="57">
        <f t="shared" si="179"/>
        <v>0</v>
      </c>
      <c r="O445" s="57">
        <f t="shared" si="179"/>
        <v>0</v>
      </c>
      <c r="P445" s="57">
        <f t="shared" si="179"/>
        <v>0</v>
      </c>
      <c r="Q445" s="57">
        <f t="shared" si="179"/>
        <v>0</v>
      </c>
      <c r="R445" s="57">
        <f t="shared" si="179"/>
        <v>0</v>
      </c>
      <c r="S445" s="57">
        <f t="shared" si="179"/>
        <v>0</v>
      </c>
      <c r="T445" s="57">
        <f t="shared" si="179"/>
        <v>0</v>
      </c>
      <c r="U445" s="57">
        <f t="shared" si="179"/>
        <v>0</v>
      </c>
      <c r="V445" s="57">
        <f t="shared" si="179"/>
        <v>0</v>
      </c>
      <c r="W445" s="57">
        <f t="shared" si="179"/>
        <v>0</v>
      </c>
      <c r="X445" s="57">
        <f t="shared" si="179"/>
        <v>0</v>
      </c>
      <c r="Y445" s="57">
        <f t="shared" si="179"/>
        <v>0</v>
      </c>
      <c r="Z445" s="57">
        <f t="shared" si="179"/>
        <v>0</v>
      </c>
      <c r="AA445" s="57">
        <f t="shared" si="179"/>
        <v>0</v>
      </c>
    </row>
    <row r="446" spans="2:27" s="4" customFormat="1" ht="17" outlineLevel="1">
      <c r="B446" s="25" t="s">
        <v>49</v>
      </c>
      <c r="C446" s="24"/>
      <c r="D446" s="65">
        <f t="shared" si="171"/>
        <v>0</v>
      </c>
      <c r="G446" s="57">
        <f>+G258+G226</f>
        <v>0</v>
      </c>
      <c r="H446" s="57">
        <f t="shared" ref="H446:AA446" si="180">+H258+H226</f>
        <v>0</v>
      </c>
      <c r="I446" s="57">
        <f t="shared" si="180"/>
        <v>0</v>
      </c>
      <c r="J446" s="57">
        <f t="shared" si="180"/>
        <v>0</v>
      </c>
      <c r="K446" s="57">
        <f t="shared" si="180"/>
        <v>0</v>
      </c>
      <c r="L446" s="57">
        <f t="shared" si="180"/>
        <v>0</v>
      </c>
      <c r="M446" s="57">
        <f t="shared" si="180"/>
        <v>0</v>
      </c>
      <c r="N446" s="57">
        <f t="shared" si="180"/>
        <v>0</v>
      </c>
      <c r="O446" s="57">
        <f t="shared" si="180"/>
        <v>0</v>
      </c>
      <c r="P446" s="57">
        <f t="shared" si="180"/>
        <v>0</v>
      </c>
      <c r="Q446" s="57">
        <f t="shared" si="180"/>
        <v>0</v>
      </c>
      <c r="R446" s="57">
        <f t="shared" si="180"/>
        <v>0</v>
      </c>
      <c r="S446" s="57">
        <f t="shared" si="180"/>
        <v>0</v>
      </c>
      <c r="T446" s="57">
        <f t="shared" si="180"/>
        <v>0</v>
      </c>
      <c r="U446" s="57">
        <f t="shared" si="180"/>
        <v>0</v>
      </c>
      <c r="V446" s="57">
        <f t="shared" si="180"/>
        <v>0</v>
      </c>
      <c r="W446" s="57">
        <f t="shared" si="180"/>
        <v>0</v>
      </c>
      <c r="X446" s="57">
        <f t="shared" si="180"/>
        <v>0</v>
      </c>
      <c r="Y446" s="57">
        <f t="shared" si="180"/>
        <v>0</v>
      </c>
      <c r="Z446" s="57">
        <f t="shared" si="180"/>
        <v>0</v>
      </c>
      <c r="AA446" s="57">
        <f t="shared" si="180"/>
        <v>0</v>
      </c>
    </row>
    <row r="447" spans="2:27" s="4" customFormat="1" ht="17" outlineLevel="1">
      <c r="B447" s="25" t="s">
        <v>48</v>
      </c>
      <c r="C447" s="24"/>
      <c r="D447" s="65">
        <f t="shared" si="171"/>
        <v>322.96599400000002</v>
      </c>
      <c r="G447" s="57">
        <f>+G386+G354+G322+G290</f>
        <v>0</v>
      </c>
      <c r="H447" s="57">
        <f t="shared" ref="H447:AA447" si="181">+H386+H354+H322+H290</f>
        <v>0</v>
      </c>
      <c r="I447" s="57">
        <f t="shared" si="181"/>
        <v>74.620260000000002</v>
      </c>
      <c r="J447" s="57">
        <f t="shared" si="181"/>
        <v>0</v>
      </c>
      <c r="K447" s="57">
        <f t="shared" si="181"/>
        <v>76.936560999999998</v>
      </c>
      <c r="L447" s="57">
        <f t="shared" si="181"/>
        <v>79.18328600000001</v>
      </c>
      <c r="M447" s="57">
        <f t="shared" si="181"/>
        <v>92.225887</v>
      </c>
      <c r="N447" s="57">
        <f t="shared" si="181"/>
        <v>0</v>
      </c>
      <c r="O447" s="57">
        <f t="shared" si="181"/>
        <v>0</v>
      </c>
      <c r="P447" s="57">
        <f t="shared" si="181"/>
        <v>0</v>
      </c>
      <c r="Q447" s="57">
        <f t="shared" si="181"/>
        <v>0</v>
      </c>
      <c r="R447" s="57">
        <f t="shared" si="181"/>
        <v>0</v>
      </c>
      <c r="S447" s="57">
        <f t="shared" si="181"/>
        <v>0</v>
      </c>
      <c r="T447" s="57">
        <f t="shared" si="181"/>
        <v>0</v>
      </c>
      <c r="U447" s="57">
        <f t="shared" si="181"/>
        <v>0</v>
      </c>
      <c r="V447" s="57">
        <f t="shared" si="181"/>
        <v>0</v>
      </c>
      <c r="W447" s="57">
        <f t="shared" si="181"/>
        <v>0</v>
      </c>
      <c r="X447" s="57">
        <f t="shared" si="181"/>
        <v>0</v>
      </c>
      <c r="Y447" s="57">
        <f t="shared" si="181"/>
        <v>0</v>
      </c>
      <c r="Z447" s="57">
        <f t="shared" si="181"/>
        <v>0</v>
      </c>
      <c r="AA447" s="57">
        <f t="shared" si="181"/>
        <v>0</v>
      </c>
    </row>
    <row r="448" spans="2:27" s="4" customFormat="1">
      <c r="B448" s="25"/>
      <c r="C448" s="24"/>
      <c r="D448" s="65">
        <f t="shared" si="171"/>
        <v>0</v>
      </c>
    </row>
    <row r="449" spans="2:27" s="4" customFormat="1">
      <c r="B449" s="25"/>
      <c r="C449" s="24"/>
      <c r="D449" s="65">
        <f t="shared" si="171"/>
        <v>0</v>
      </c>
    </row>
    <row r="450" spans="2:27" s="4" customFormat="1" ht="17">
      <c r="B450" s="76" t="s">
        <v>11</v>
      </c>
      <c r="C450" s="24"/>
      <c r="D450" s="65">
        <f t="shared" si="171"/>
        <v>0</v>
      </c>
    </row>
    <row r="451" spans="2:27" s="4" customFormat="1" ht="17">
      <c r="B451" s="75" t="s">
        <v>2</v>
      </c>
      <c r="C451" s="153">
        <f>+D451/$D$427</f>
        <v>6.6308659454226027E-4</v>
      </c>
      <c r="D451" s="65">
        <f t="shared" si="171"/>
        <v>129.18639759999999</v>
      </c>
      <c r="G451" s="68">
        <f t="shared" ref="G451:AA451" si="182">+SUM(G452:G456)</f>
        <v>0</v>
      </c>
      <c r="H451" s="68">
        <f t="shared" si="182"/>
        <v>8.9544312000000001</v>
      </c>
      <c r="I451" s="68">
        <f t="shared" si="182"/>
        <v>22.908914333290319</v>
      </c>
      <c r="J451" s="68">
        <f t="shared" si="182"/>
        <v>24.143189206709671</v>
      </c>
      <c r="K451" s="68">
        <f t="shared" si="182"/>
        <v>23.620182299999989</v>
      </c>
      <c r="L451" s="68">
        <f t="shared" si="182"/>
        <v>21.89191446000001</v>
      </c>
      <c r="M451" s="68">
        <f t="shared" si="182"/>
        <v>27.667766099999994</v>
      </c>
      <c r="N451" s="68">
        <f t="shared" si="182"/>
        <v>0</v>
      </c>
      <c r="O451" s="68">
        <f t="shared" si="182"/>
        <v>0</v>
      </c>
      <c r="P451" s="68">
        <f t="shared" si="182"/>
        <v>0</v>
      </c>
      <c r="Q451" s="68">
        <f t="shared" si="182"/>
        <v>0</v>
      </c>
      <c r="R451" s="68">
        <f t="shared" si="182"/>
        <v>0</v>
      </c>
      <c r="S451" s="68">
        <f t="shared" si="182"/>
        <v>0</v>
      </c>
      <c r="T451" s="68">
        <f t="shared" si="182"/>
        <v>0</v>
      </c>
      <c r="U451" s="68">
        <f t="shared" si="182"/>
        <v>0</v>
      </c>
      <c r="V451" s="68">
        <f t="shared" si="182"/>
        <v>0</v>
      </c>
      <c r="W451" s="68">
        <f t="shared" si="182"/>
        <v>0</v>
      </c>
      <c r="X451" s="68">
        <f t="shared" si="182"/>
        <v>0</v>
      </c>
      <c r="Y451" s="68">
        <f t="shared" si="182"/>
        <v>0</v>
      </c>
      <c r="Z451" s="68">
        <f t="shared" si="182"/>
        <v>0</v>
      </c>
      <c r="AA451" s="68">
        <f t="shared" si="182"/>
        <v>0</v>
      </c>
    </row>
    <row r="452" spans="2:27" s="4" customFormat="1" ht="17" outlineLevel="1">
      <c r="B452" s="25" t="s">
        <v>43</v>
      </c>
      <c r="C452" s="24"/>
      <c r="D452" s="65">
        <f t="shared" si="171"/>
        <v>0</v>
      </c>
      <c r="G452" s="57">
        <f>+G22+G54-F22-F54</f>
        <v>0</v>
      </c>
      <c r="H452" s="57">
        <f t="shared" ref="H452:AA452" si="183">+H22+H54-G22-G54</f>
        <v>0</v>
      </c>
      <c r="I452" s="57">
        <f t="shared" si="183"/>
        <v>0</v>
      </c>
      <c r="J452" s="57">
        <f t="shared" si="183"/>
        <v>0</v>
      </c>
      <c r="K452" s="57">
        <f t="shared" si="183"/>
        <v>0</v>
      </c>
      <c r="L452" s="57">
        <f t="shared" si="183"/>
        <v>0</v>
      </c>
      <c r="M452" s="57">
        <f t="shared" si="183"/>
        <v>0</v>
      </c>
      <c r="N452" s="57">
        <f t="shared" si="183"/>
        <v>0</v>
      </c>
      <c r="O452" s="57">
        <f t="shared" si="183"/>
        <v>0</v>
      </c>
      <c r="P452" s="57">
        <f t="shared" si="183"/>
        <v>0</v>
      </c>
      <c r="Q452" s="57">
        <f t="shared" si="183"/>
        <v>0</v>
      </c>
      <c r="R452" s="57">
        <f t="shared" si="183"/>
        <v>0</v>
      </c>
      <c r="S452" s="57">
        <f t="shared" si="183"/>
        <v>0</v>
      </c>
      <c r="T452" s="57">
        <f t="shared" si="183"/>
        <v>0</v>
      </c>
      <c r="U452" s="57">
        <f t="shared" si="183"/>
        <v>0</v>
      </c>
      <c r="V452" s="57">
        <f t="shared" si="183"/>
        <v>0</v>
      </c>
      <c r="W452" s="57">
        <f t="shared" si="183"/>
        <v>0</v>
      </c>
      <c r="X452" s="57">
        <f t="shared" si="183"/>
        <v>0</v>
      </c>
      <c r="Y452" s="57">
        <f t="shared" si="183"/>
        <v>0</v>
      </c>
      <c r="Z452" s="57">
        <f t="shared" si="183"/>
        <v>0</v>
      </c>
      <c r="AA452" s="57">
        <f t="shared" si="183"/>
        <v>0</v>
      </c>
    </row>
    <row r="453" spans="2:27" s="4" customFormat="1" ht="17" outlineLevel="1">
      <c r="B453" s="25" t="s">
        <v>44</v>
      </c>
      <c r="C453" s="24"/>
      <c r="D453" s="65">
        <f t="shared" si="171"/>
        <v>0</v>
      </c>
      <c r="G453" s="57">
        <f>+G86+G118-F86-F118</f>
        <v>0</v>
      </c>
      <c r="H453" s="57">
        <f t="shared" ref="H453:AA453" si="184">+H86+H118-G86-G118</f>
        <v>0</v>
      </c>
      <c r="I453" s="57">
        <f t="shared" si="184"/>
        <v>0</v>
      </c>
      <c r="J453" s="57">
        <f t="shared" si="184"/>
        <v>0</v>
      </c>
      <c r="K453" s="57">
        <f t="shared" si="184"/>
        <v>0</v>
      </c>
      <c r="L453" s="57">
        <f t="shared" si="184"/>
        <v>0</v>
      </c>
      <c r="M453" s="57">
        <f t="shared" si="184"/>
        <v>0</v>
      </c>
      <c r="N453" s="57">
        <f t="shared" si="184"/>
        <v>0</v>
      </c>
      <c r="O453" s="57">
        <f t="shared" si="184"/>
        <v>0</v>
      </c>
      <c r="P453" s="57">
        <f t="shared" si="184"/>
        <v>0</v>
      </c>
      <c r="Q453" s="57">
        <f t="shared" si="184"/>
        <v>0</v>
      </c>
      <c r="R453" s="57">
        <f t="shared" si="184"/>
        <v>0</v>
      </c>
      <c r="S453" s="57">
        <f t="shared" si="184"/>
        <v>0</v>
      </c>
      <c r="T453" s="57">
        <f t="shared" si="184"/>
        <v>0</v>
      </c>
      <c r="U453" s="57">
        <f t="shared" si="184"/>
        <v>0</v>
      </c>
      <c r="V453" s="57">
        <f t="shared" si="184"/>
        <v>0</v>
      </c>
      <c r="W453" s="57">
        <f t="shared" si="184"/>
        <v>0</v>
      </c>
      <c r="X453" s="57">
        <f t="shared" si="184"/>
        <v>0</v>
      </c>
      <c r="Y453" s="57">
        <f t="shared" si="184"/>
        <v>0</v>
      </c>
      <c r="Z453" s="57">
        <f t="shared" si="184"/>
        <v>0</v>
      </c>
      <c r="AA453" s="57">
        <f t="shared" si="184"/>
        <v>0</v>
      </c>
    </row>
    <row r="454" spans="2:27" s="4" customFormat="1" ht="17" outlineLevel="1">
      <c r="B454" s="25" t="s">
        <v>47</v>
      </c>
      <c r="C454" s="24"/>
      <c r="D454" s="65">
        <f t="shared" si="171"/>
        <v>0</v>
      </c>
      <c r="G454" s="57">
        <f>+G182-F182</f>
        <v>0</v>
      </c>
      <c r="H454" s="57">
        <f t="shared" ref="H454:AA454" si="185">+H182-G182</f>
        <v>0</v>
      </c>
      <c r="I454" s="57">
        <f t="shared" si="185"/>
        <v>0</v>
      </c>
      <c r="J454" s="57">
        <f t="shared" si="185"/>
        <v>0</v>
      </c>
      <c r="K454" s="57">
        <f t="shared" si="185"/>
        <v>0</v>
      </c>
      <c r="L454" s="57">
        <f t="shared" si="185"/>
        <v>0</v>
      </c>
      <c r="M454" s="57">
        <f t="shared" si="185"/>
        <v>0</v>
      </c>
      <c r="N454" s="57">
        <f t="shared" si="185"/>
        <v>0</v>
      </c>
      <c r="O454" s="57">
        <f t="shared" si="185"/>
        <v>0</v>
      </c>
      <c r="P454" s="57">
        <f t="shared" si="185"/>
        <v>0</v>
      </c>
      <c r="Q454" s="57">
        <f t="shared" si="185"/>
        <v>0</v>
      </c>
      <c r="R454" s="57">
        <f t="shared" si="185"/>
        <v>0</v>
      </c>
      <c r="S454" s="57">
        <f t="shared" si="185"/>
        <v>0</v>
      </c>
      <c r="T454" s="57">
        <f t="shared" si="185"/>
        <v>0</v>
      </c>
      <c r="U454" s="57">
        <f t="shared" si="185"/>
        <v>0</v>
      </c>
      <c r="V454" s="57">
        <f t="shared" si="185"/>
        <v>0</v>
      </c>
      <c r="W454" s="57">
        <f t="shared" si="185"/>
        <v>0</v>
      </c>
      <c r="X454" s="57">
        <f t="shared" si="185"/>
        <v>0</v>
      </c>
      <c r="Y454" s="57">
        <f t="shared" si="185"/>
        <v>0</v>
      </c>
      <c r="Z454" s="57">
        <f t="shared" si="185"/>
        <v>0</v>
      </c>
      <c r="AA454" s="57">
        <f t="shared" si="185"/>
        <v>0</v>
      </c>
    </row>
    <row r="455" spans="2:27" s="4" customFormat="1" ht="17" outlineLevel="1">
      <c r="B455" s="25" t="s">
        <v>49</v>
      </c>
      <c r="C455" s="24"/>
      <c r="D455" s="65">
        <f t="shared" si="171"/>
        <v>0</v>
      </c>
      <c r="G455" s="57">
        <f>+G246+G214-F246-F214</f>
        <v>0</v>
      </c>
      <c r="H455" s="57">
        <f t="shared" ref="H455:AA455" si="186">+H246+H214-G246-G214</f>
        <v>0</v>
      </c>
      <c r="I455" s="57">
        <f t="shared" si="186"/>
        <v>0</v>
      </c>
      <c r="J455" s="57">
        <f t="shared" si="186"/>
        <v>0</v>
      </c>
      <c r="K455" s="57">
        <f t="shared" si="186"/>
        <v>0</v>
      </c>
      <c r="L455" s="57">
        <f t="shared" si="186"/>
        <v>0</v>
      </c>
      <c r="M455" s="57">
        <f t="shared" si="186"/>
        <v>0</v>
      </c>
      <c r="N455" s="57">
        <f t="shared" si="186"/>
        <v>0</v>
      </c>
      <c r="O455" s="57">
        <f t="shared" si="186"/>
        <v>0</v>
      </c>
      <c r="P455" s="57">
        <f t="shared" si="186"/>
        <v>0</v>
      </c>
      <c r="Q455" s="57">
        <f t="shared" si="186"/>
        <v>0</v>
      </c>
      <c r="R455" s="57">
        <f t="shared" si="186"/>
        <v>0</v>
      </c>
      <c r="S455" s="57">
        <f t="shared" si="186"/>
        <v>0</v>
      </c>
      <c r="T455" s="57">
        <f t="shared" si="186"/>
        <v>0</v>
      </c>
      <c r="U455" s="57">
        <f t="shared" si="186"/>
        <v>0</v>
      </c>
      <c r="V455" s="57">
        <f t="shared" si="186"/>
        <v>0</v>
      </c>
      <c r="W455" s="57">
        <f t="shared" si="186"/>
        <v>0</v>
      </c>
      <c r="X455" s="57">
        <f t="shared" si="186"/>
        <v>0</v>
      </c>
      <c r="Y455" s="57">
        <f t="shared" si="186"/>
        <v>0</v>
      </c>
      <c r="Z455" s="57">
        <f t="shared" si="186"/>
        <v>0</v>
      </c>
      <c r="AA455" s="57">
        <f t="shared" si="186"/>
        <v>0</v>
      </c>
    </row>
    <row r="456" spans="2:27" s="4" customFormat="1" ht="17" outlineLevel="1">
      <c r="B456" s="25" t="s">
        <v>48</v>
      </c>
      <c r="C456" s="24"/>
      <c r="D456" s="65">
        <f t="shared" si="171"/>
        <v>129.18639759999999</v>
      </c>
      <c r="G456" s="57">
        <f>+G374+G342+G310+G278-F374-F342-F310-F278</f>
        <v>0</v>
      </c>
      <c r="H456" s="57">
        <f t="shared" ref="H456:AA456" si="187">+H374+H342+H310+H278-G374-G342-G310-G278</f>
        <v>8.9544312000000001</v>
      </c>
      <c r="I456" s="57">
        <f t="shared" si="187"/>
        <v>22.908914333290319</v>
      </c>
      <c r="J456" s="57">
        <f t="shared" si="187"/>
        <v>24.143189206709671</v>
      </c>
      <c r="K456" s="57">
        <f t="shared" si="187"/>
        <v>23.620182299999989</v>
      </c>
      <c r="L456" s="57">
        <f t="shared" si="187"/>
        <v>21.89191446000001</v>
      </c>
      <c r="M456" s="57">
        <f t="shared" si="187"/>
        <v>27.667766099999994</v>
      </c>
      <c r="N456" s="57">
        <f t="shared" si="187"/>
        <v>0</v>
      </c>
      <c r="O456" s="57">
        <f t="shared" si="187"/>
        <v>0</v>
      </c>
      <c r="P456" s="57">
        <f t="shared" si="187"/>
        <v>0</v>
      </c>
      <c r="Q456" s="57">
        <f t="shared" si="187"/>
        <v>0</v>
      </c>
      <c r="R456" s="57">
        <f t="shared" si="187"/>
        <v>0</v>
      </c>
      <c r="S456" s="57">
        <f t="shared" si="187"/>
        <v>0</v>
      </c>
      <c r="T456" s="57">
        <f t="shared" si="187"/>
        <v>0</v>
      </c>
      <c r="U456" s="57">
        <f t="shared" si="187"/>
        <v>0</v>
      </c>
      <c r="V456" s="57">
        <f t="shared" si="187"/>
        <v>0</v>
      </c>
      <c r="W456" s="57">
        <f t="shared" si="187"/>
        <v>0</v>
      </c>
      <c r="X456" s="57">
        <f t="shared" si="187"/>
        <v>0</v>
      </c>
      <c r="Y456" s="57">
        <f t="shared" si="187"/>
        <v>0</v>
      </c>
      <c r="Z456" s="57">
        <f t="shared" si="187"/>
        <v>0</v>
      </c>
      <c r="AA456" s="57">
        <f t="shared" si="187"/>
        <v>0</v>
      </c>
    </row>
    <row r="457" spans="2:27" s="4" customFormat="1" ht="17">
      <c r="B457" s="75" t="s">
        <v>5</v>
      </c>
      <c r="C457" s="24"/>
      <c r="D457" s="65">
        <f t="shared" si="171"/>
        <v>129.18639759999999</v>
      </c>
      <c r="G457" s="68">
        <f t="shared" ref="G457:AA457" si="188">+SUM(G458:G462)</f>
        <v>0</v>
      </c>
      <c r="H457" s="68">
        <f t="shared" si="188"/>
        <v>0</v>
      </c>
      <c r="I457" s="68">
        <f t="shared" si="188"/>
        <v>29.848103999999999</v>
      </c>
      <c r="J457" s="68">
        <f t="shared" si="188"/>
        <v>0</v>
      </c>
      <c r="K457" s="68">
        <f t="shared" si="188"/>
        <v>30.7746244</v>
      </c>
      <c r="L457" s="68">
        <f t="shared" si="188"/>
        <v>31.673314399999999</v>
      </c>
      <c r="M457" s="68">
        <f t="shared" si="188"/>
        <v>36.890354799999997</v>
      </c>
      <c r="N457" s="68">
        <f t="shared" si="188"/>
        <v>0</v>
      </c>
      <c r="O457" s="68">
        <f t="shared" si="188"/>
        <v>0</v>
      </c>
      <c r="P457" s="68">
        <f t="shared" si="188"/>
        <v>0</v>
      </c>
      <c r="Q457" s="68">
        <f t="shared" si="188"/>
        <v>0</v>
      </c>
      <c r="R457" s="68">
        <f t="shared" si="188"/>
        <v>0</v>
      </c>
      <c r="S457" s="68">
        <f t="shared" si="188"/>
        <v>0</v>
      </c>
      <c r="T457" s="68">
        <f t="shared" si="188"/>
        <v>0</v>
      </c>
      <c r="U457" s="68">
        <f t="shared" si="188"/>
        <v>0</v>
      </c>
      <c r="V457" s="68">
        <f t="shared" si="188"/>
        <v>0</v>
      </c>
      <c r="W457" s="68">
        <f t="shared" si="188"/>
        <v>0</v>
      </c>
      <c r="X457" s="68">
        <f t="shared" si="188"/>
        <v>0</v>
      </c>
      <c r="Y457" s="68">
        <f t="shared" si="188"/>
        <v>0</v>
      </c>
      <c r="Z457" s="68">
        <f t="shared" si="188"/>
        <v>0</v>
      </c>
      <c r="AA457" s="68">
        <f t="shared" si="188"/>
        <v>0</v>
      </c>
    </row>
    <row r="458" spans="2:27" s="4" customFormat="1" ht="17" outlineLevel="1">
      <c r="B458" s="25" t="s">
        <v>43</v>
      </c>
      <c r="C458" s="24"/>
      <c r="D458" s="65">
        <f t="shared" si="171"/>
        <v>0</v>
      </c>
      <c r="G458" s="57">
        <f>G67+G35</f>
        <v>0</v>
      </c>
      <c r="H458" s="57">
        <f t="shared" ref="H458:AA458" si="189">H67+H35</f>
        <v>0</v>
      </c>
      <c r="I458" s="57">
        <f t="shared" si="189"/>
        <v>0</v>
      </c>
      <c r="J458" s="57">
        <f t="shared" si="189"/>
        <v>0</v>
      </c>
      <c r="K458" s="57">
        <f t="shared" si="189"/>
        <v>0</v>
      </c>
      <c r="L458" s="57">
        <f t="shared" si="189"/>
        <v>0</v>
      </c>
      <c r="M458" s="57">
        <f t="shared" si="189"/>
        <v>0</v>
      </c>
      <c r="N458" s="57">
        <f t="shared" si="189"/>
        <v>0</v>
      </c>
      <c r="O458" s="57">
        <f t="shared" si="189"/>
        <v>0</v>
      </c>
      <c r="P458" s="57">
        <f t="shared" si="189"/>
        <v>0</v>
      </c>
      <c r="Q458" s="57">
        <f t="shared" si="189"/>
        <v>0</v>
      </c>
      <c r="R458" s="57">
        <f t="shared" si="189"/>
        <v>0</v>
      </c>
      <c r="S458" s="57">
        <f t="shared" si="189"/>
        <v>0</v>
      </c>
      <c r="T458" s="57">
        <f t="shared" si="189"/>
        <v>0</v>
      </c>
      <c r="U458" s="57">
        <f t="shared" si="189"/>
        <v>0</v>
      </c>
      <c r="V458" s="57">
        <f t="shared" si="189"/>
        <v>0</v>
      </c>
      <c r="W458" s="57">
        <f t="shared" si="189"/>
        <v>0</v>
      </c>
      <c r="X458" s="57">
        <f t="shared" si="189"/>
        <v>0</v>
      </c>
      <c r="Y458" s="57">
        <f t="shared" si="189"/>
        <v>0</v>
      </c>
      <c r="Z458" s="57">
        <f t="shared" si="189"/>
        <v>0</v>
      </c>
      <c r="AA458" s="57">
        <f t="shared" si="189"/>
        <v>0</v>
      </c>
    </row>
    <row r="459" spans="2:27" s="4" customFormat="1" ht="17" outlineLevel="1">
      <c r="B459" s="25" t="s">
        <v>44</v>
      </c>
      <c r="C459" s="24"/>
      <c r="D459" s="65">
        <f t="shared" si="171"/>
        <v>0</v>
      </c>
      <c r="G459" s="57">
        <f>+G99+G131</f>
        <v>0</v>
      </c>
      <c r="H459" s="57">
        <f t="shared" ref="H459:AA459" si="190">+H99+H131</f>
        <v>0</v>
      </c>
      <c r="I459" s="57">
        <f t="shared" si="190"/>
        <v>0</v>
      </c>
      <c r="J459" s="57">
        <f t="shared" si="190"/>
        <v>0</v>
      </c>
      <c r="K459" s="57">
        <f t="shared" si="190"/>
        <v>0</v>
      </c>
      <c r="L459" s="57">
        <f t="shared" si="190"/>
        <v>0</v>
      </c>
      <c r="M459" s="57">
        <f t="shared" si="190"/>
        <v>0</v>
      </c>
      <c r="N459" s="57">
        <f t="shared" si="190"/>
        <v>0</v>
      </c>
      <c r="O459" s="57">
        <f t="shared" si="190"/>
        <v>0</v>
      </c>
      <c r="P459" s="57">
        <f t="shared" si="190"/>
        <v>0</v>
      </c>
      <c r="Q459" s="57">
        <f t="shared" si="190"/>
        <v>0</v>
      </c>
      <c r="R459" s="57">
        <f t="shared" si="190"/>
        <v>0</v>
      </c>
      <c r="S459" s="57">
        <f t="shared" si="190"/>
        <v>0</v>
      </c>
      <c r="T459" s="57">
        <f t="shared" si="190"/>
        <v>0</v>
      </c>
      <c r="U459" s="57">
        <f t="shared" si="190"/>
        <v>0</v>
      </c>
      <c r="V459" s="57">
        <f t="shared" si="190"/>
        <v>0</v>
      </c>
      <c r="W459" s="57">
        <f t="shared" si="190"/>
        <v>0</v>
      </c>
      <c r="X459" s="57">
        <f t="shared" si="190"/>
        <v>0</v>
      </c>
      <c r="Y459" s="57">
        <f t="shared" si="190"/>
        <v>0</v>
      </c>
      <c r="Z459" s="57">
        <f t="shared" si="190"/>
        <v>0</v>
      </c>
      <c r="AA459" s="57">
        <f t="shared" si="190"/>
        <v>0</v>
      </c>
    </row>
    <row r="460" spans="2:27" s="4" customFormat="1" ht="17" outlineLevel="1">
      <c r="B460" s="25" t="s">
        <v>47</v>
      </c>
      <c r="C460" s="24"/>
      <c r="D460" s="65">
        <f t="shared" si="171"/>
        <v>0</v>
      </c>
      <c r="G460" s="57">
        <f>+G195</f>
        <v>0</v>
      </c>
      <c r="H460" s="57">
        <f t="shared" ref="H460:AA460" si="191">+H195</f>
        <v>0</v>
      </c>
      <c r="I460" s="57">
        <f t="shared" si="191"/>
        <v>0</v>
      </c>
      <c r="J460" s="57">
        <f t="shared" si="191"/>
        <v>0</v>
      </c>
      <c r="K460" s="57">
        <f t="shared" si="191"/>
        <v>0</v>
      </c>
      <c r="L460" s="57">
        <f t="shared" si="191"/>
        <v>0</v>
      </c>
      <c r="M460" s="57">
        <f t="shared" si="191"/>
        <v>0</v>
      </c>
      <c r="N460" s="57">
        <f t="shared" si="191"/>
        <v>0</v>
      </c>
      <c r="O460" s="57">
        <f t="shared" si="191"/>
        <v>0</v>
      </c>
      <c r="P460" s="57">
        <f t="shared" si="191"/>
        <v>0</v>
      </c>
      <c r="Q460" s="57">
        <f t="shared" si="191"/>
        <v>0</v>
      </c>
      <c r="R460" s="57">
        <f t="shared" si="191"/>
        <v>0</v>
      </c>
      <c r="S460" s="57">
        <f t="shared" si="191"/>
        <v>0</v>
      </c>
      <c r="T460" s="57">
        <f t="shared" si="191"/>
        <v>0</v>
      </c>
      <c r="U460" s="57">
        <f t="shared" si="191"/>
        <v>0</v>
      </c>
      <c r="V460" s="57">
        <f t="shared" si="191"/>
        <v>0</v>
      </c>
      <c r="W460" s="57">
        <f t="shared" si="191"/>
        <v>0</v>
      </c>
      <c r="X460" s="57">
        <f t="shared" si="191"/>
        <v>0</v>
      </c>
      <c r="Y460" s="57">
        <f t="shared" si="191"/>
        <v>0</v>
      </c>
      <c r="Z460" s="57">
        <f t="shared" si="191"/>
        <v>0</v>
      </c>
      <c r="AA460" s="57">
        <f t="shared" si="191"/>
        <v>0</v>
      </c>
    </row>
    <row r="461" spans="2:27" s="4" customFormat="1" ht="17" outlineLevel="1">
      <c r="B461" s="25" t="s">
        <v>49</v>
      </c>
      <c r="C461" s="24"/>
      <c r="D461" s="65">
        <f t="shared" si="171"/>
        <v>0</v>
      </c>
      <c r="G461" s="57">
        <f>+G259+G227</f>
        <v>0</v>
      </c>
      <c r="H461" s="57">
        <f t="shared" ref="H461:AA461" si="192">+H259+H227</f>
        <v>0</v>
      </c>
      <c r="I461" s="57">
        <f t="shared" si="192"/>
        <v>0</v>
      </c>
      <c r="J461" s="57">
        <f t="shared" si="192"/>
        <v>0</v>
      </c>
      <c r="K461" s="57">
        <f t="shared" si="192"/>
        <v>0</v>
      </c>
      <c r="L461" s="57">
        <f t="shared" si="192"/>
        <v>0</v>
      </c>
      <c r="M461" s="57">
        <f t="shared" si="192"/>
        <v>0</v>
      </c>
      <c r="N461" s="57">
        <f t="shared" si="192"/>
        <v>0</v>
      </c>
      <c r="O461" s="57">
        <f t="shared" si="192"/>
        <v>0</v>
      </c>
      <c r="P461" s="57">
        <f t="shared" si="192"/>
        <v>0</v>
      </c>
      <c r="Q461" s="57">
        <f t="shared" si="192"/>
        <v>0</v>
      </c>
      <c r="R461" s="57">
        <f t="shared" si="192"/>
        <v>0</v>
      </c>
      <c r="S461" s="57">
        <f t="shared" si="192"/>
        <v>0</v>
      </c>
      <c r="T461" s="57">
        <f t="shared" si="192"/>
        <v>0</v>
      </c>
      <c r="U461" s="57">
        <f t="shared" si="192"/>
        <v>0</v>
      </c>
      <c r="V461" s="57">
        <f t="shared" si="192"/>
        <v>0</v>
      </c>
      <c r="W461" s="57">
        <f t="shared" si="192"/>
        <v>0</v>
      </c>
      <c r="X461" s="57">
        <f t="shared" si="192"/>
        <v>0</v>
      </c>
      <c r="Y461" s="57">
        <f t="shared" si="192"/>
        <v>0</v>
      </c>
      <c r="Z461" s="57">
        <f t="shared" si="192"/>
        <v>0</v>
      </c>
      <c r="AA461" s="57">
        <f t="shared" si="192"/>
        <v>0</v>
      </c>
    </row>
    <row r="462" spans="2:27" s="4" customFormat="1" ht="17" outlineLevel="1">
      <c r="B462" s="25" t="s">
        <v>48</v>
      </c>
      <c r="C462" s="24"/>
      <c r="D462" s="65">
        <f t="shared" si="171"/>
        <v>129.18639759999999</v>
      </c>
      <c r="G462" s="57">
        <f>+G387+G355+G323+G291</f>
        <v>0</v>
      </c>
      <c r="H462" s="57">
        <f t="shared" ref="H462:AA462" si="193">+H387+H355+H323+H291</f>
        <v>0</v>
      </c>
      <c r="I462" s="57">
        <f t="shared" si="193"/>
        <v>29.848103999999999</v>
      </c>
      <c r="J462" s="57">
        <f t="shared" si="193"/>
        <v>0</v>
      </c>
      <c r="K462" s="57">
        <f t="shared" si="193"/>
        <v>30.7746244</v>
      </c>
      <c r="L462" s="57">
        <f t="shared" si="193"/>
        <v>31.673314399999999</v>
      </c>
      <c r="M462" s="57">
        <f t="shared" si="193"/>
        <v>36.890354799999997</v>
      </c>
      <c r="N462" s="57">
        <f t="shared" si="193"/>
        <v>0</v>
      </c>
      <c r="O462" s="57">
        <f t="shared" si="193"/>
        <v>0</v>
      </c>
      <c r="P462" s="57">
        <f t="shared" si="193"/>
        <v>0</v>
      </c>
      <c r="Q462" s="57">
        <f t="shared" si="193"/>
        <v>0</v>
      </c>
      <c r="R462" s="57">
        <f t="shared" si="193"/>
        <v>0</v>
      </c>
      <c r="S462" s="57">
        <f t="shared" si="193"/>
        <v>0</v>
      </c>
      <c r="T462" s="57">
        <f t="shared" si="193"/>
        <v>0</v>
      </c>
      <c r="U462" s="57">
        <f t="shared" si="193"/>
        <v>0</v>
      </c>
      <c r="V462" s="57">
        <f t="shared" si="193"/>
        <v>0</v>
      </c>
      <c r="W462" s="57">
        <f t="shared" si="193"/>
        <v>0</v>
      </c>
      <c r="X462" s="57">
        <f t="shared" si="193"/>
        <v>0</v>
      </c>
      <c r="Y462" s="57">
        <f t="shared" si="193"/>
        <v>0</v>
      </c>
      <c r="Z462" s="57">
        <f t="shared" si="193"/>
        <v>0</v>
      </c>
      <c r="AA462" s="57">
        <f t="shared" si="193"/>
        <v>0</v>
      </c>
    </row>
    <row r="463" spans="2:27" s="4" customFormat="1">
      <c r="B463" s="25"/>
      <c r="C463" s="24"/>
      <c r="D463" s="65">
        <f t="shared" si="171"/>
        <v>0</v>
      </c>
    </row>
    <row r="464" spans="2:27" s="4" customFormat="1">
      <c r="B464" s="25"/>
      <c r="C464" s="24"/>
      <c r="D464" s="65">
        <f t="shared" si="171"/>
        <v>0</v>
      </c>
    </row>
    <row r="465" spans="2:27" s="4" customFormat="1" ht="17">
      <c r="B465" s="76" t="s">
        <v>6</v>
      </c>
      <c r="C465" s="24"/>
      <c r="D465" s="65">
        <f t="shared" si="171"/>
        <v>0</v>
      </c>
    </row>
    <row r="466" spans="2:27" s="4" customFormat="1" ht="17">
      <c r="B466" s="75" t="s">
        <v>2</v>
      </c>
      <c r="C466" s="153">
        <f>+D466/$D$427</f>
        <v>0.67506854395906069</v>
      </c>
      <c r="D466" s="65">
        <f t="shared" si="171"/>
        <v>131520.79086646379</v>
      </c>
      <c r="G466" s="68">
        <f t="shared" ref="G466:AA466" si="194">+SUM(G467:G471)</f>
        <v>39085.419159550358</v>
      </c>
      <c r="H466" s="68">
        <f t="shared" si="194"/>
        <v>20636.744558434351</v>
      </c>
      <c r="I466" s="68">
        <f t="shared" si="194"/>
        <v>19675.487456055962</v>
      </c>
      <c r="J466" s="68">
        <f t="shared" si="194"/>
        <v>32547.526377373117</v>
      </c>
      <c r="K466" s="68">
        <f t="shared" si="194"/>
        <v>6318.3987652500009</v>
      </c>
      <c r="L466" s="68">
        <f t="shared" si="194"/>
        <v>5856.0871180500008</v>
      </c>
      <c r="M466" s="68">
        <f t="shared" si="194"/>
        <v>7401.1274317499947</v>
      </c>
      <c r="N466" s="68">
        <f t="shared" si="194"/>
        <v>0</v>
      </c>
      <c r="O466" s="68">
        <f t="shared" si="194"/>
        <v>0</v>
      </c>
      <c r="P466" s="68">
        <f t="shared" si="194"/>
        <v>0</v>
      </c>
      <c r="Q466" s="68">
        <f t="shared" si="194"/>
        <v>0</v>
      </c>
      <c r="R466" s="68">
        <f t="shared" si="194"/>
        <v>0</v>
      </c>
      <c r="S466" s="68">
        <f t="shared" si="194"/>
        <v>0</v>
      </c>
      <c r="T466" s="68">
        <f t="shared" si="194"/>
        <v>0</v>
      </c>
      <c r="U466" s="68">
        <f t="shared" si="194"/>
        <v>0</v>
      </c>
      <c r="V466" s="68">
        <f t="shared" si="194"/>
        <v>0</v>
      </c>
      <c r="W466" s="68">
        <f t="shared" si="194"/>
        <v>0</v>
      </c>
      <c r="X466" s="68">
        <f t="shared" si="194"/>
        <v>0</v>
      </c>
      <c r="Y466" s="68">
        <f t="shared" si="194"/>
        <v>0</v>
      </c>
      <c r="Z466" s="68">
        <f t="shared" si="194"/>
        <v>0</v>
      </c>
      <c r="AA466" s="68">
        <f t="shared" si="194"/>
        <v>0</v>
      </c>
    </row>
    <row r="467" spans="2:27" s="4" customFormat="1" ht="17" outlineLevel="1">
      <c r="B467" s="25" t="s">
        <v>43</v>
      </c>
      <c r="C467" s="24"/>
      <c r="D467" s="65">
        <f t="shared" si="171"/>
        <v>0</v>
      </c>
      <c r="G467" s="57">
        <f>+G23+G55-F23-F55</f>
        <v>0</v>
      </c>
      <c r="H467" s="57">
        <f t="shared" ref="H467:AA467" si="195">+H23+H55-G23-G55</f>
        <v>0</v>
      </c>
      <c r="I467" s="57">
        <f t="shared" si="195"/>
        <v>0</v>
      </c>
      <c r="J467" s="57">
        <f t="shared" si="195"/>
        <v>0</v>
      </c>
      <c r="K467" s="57">
        <f t="shared" si="195"/>
        <v>0</v>
      </c>
      <c r="L467" s="57">
        <f t="shared" si="195"/>
        <v>0</v>
      </c>
      <c r="M467" s="57">
        <f t="shared" si="195"/>
        <v>0</v>
      </c>
      <c r="N467" s="57">
        <f t="shared" si="195"/>
        <v>0</v>
      </c>
      <c r="O467" s="57">
        <f t="shared" si="195"/>
        <v>0</v>
      </c>
      <c r="P467" s="57">
        <f t="shared" si="195"/>
        <v>0</v>
      </c>
      <c r="Q467" s="57">
        <f t="shared" si="195"/>
        <v>0</v>
      </c>
      <c r="R467" s="57">
        <f t="shared" si="195"/>
        <v>0</v>
      </c>
      <c r="S467" s="57">
        <f t="shared" si="195"/>
        <v>0</v>
      </c>
      <c r="T467" s="57">
        <f t="shared" si="195"/>
        <v>0</v>
      </c>
      <c r="U467" s="57">
        <f t="shared" si="195"/>
        <v>0</v>
      </c>
      <c r="V467" s="57">
        <f t="shared" si="195"/>
        <v>0</v>
      </c>
      <c r="W467" s="57">
        <f t="shared" si="195"/>
        <v>0</v>
      </c>
      <c r="X467" s="57">
        <f t="shared" si="195"/>
        <v>0</v>
      </c>
      <c r="Y467" s="57">
        <f t="shared" si="195"/>
        <v>0</v>
      </c>
      <c r="Z467" s="57">
        <f t="shared" si="195"/>
        <v>0</v>
      </c>
      <c r="AA467" s="57">
        <f t="shared" si="195"/>
        <v>0</v>
      </c>
    </row>
    <row r="468" spans="2:27" s="4" customFormat="1" ht="17" outlineLevel="1">
      <c r="B468" s="25" t="s">
        <v>44</v>
      </c>
      <c r="C468" s="24"/>
      <c r="D468" s="65">
        <f t="shared" si="171"/>
        <v>43904.115953746703</v>
      </c>
      <c r="G468" s="57">
        <f>++G87+G119-F87-F119</f>
        <v>9848.6930485281191</v>
      </c>
      <c r="H468" s="57">
        <f t="shared" ref="H468:AA468" si="196">++H87+H119-G87-G119</f>
        <v>12037.291503756591</v>
      </c>
      <c r="I468" s="57">
        <f t="shared" si="196"/>
        <v>5504.5328503655001</v>
      </c>
      <c r="J468" s="57">
        <f t="shared" si="196"/>
        <v>16513.598551096493</v>
      </c>
      <c r="K468" s="57">
        <f t="shared" si="196"/>
        <v>0</v>
      </c>
      <c r="L468" s="57">
        <f t="shared" si="196"/>
        <v>0</v>
      </c>
      <c r="M468" s="57">
        <f t="shared" si="196"/>
        <v>0</v>
      </c>
      <c r="N468" s="57">
        <f t="shared" si="196"/>
        <v>0</v>
      </c>
      <c r="O468" s="57">
        <f t="shared" si="196"/>
        <v>0</v>
      </c>
      <c r="P468" s="57">
        <f t="shared" si="196"/>
        <v>0</v>
      </c>
      <c r="Q468" s="57">
        <f t="shared" si="196"/>
        <v>0</v>
      </c>
      <c r="R468" s="57">
        <f t="shared" si="196"/>
        <v>0</v>
      </c>
      <c r="S468" s="57">
        <f t="shared" si="196"/>
        <v>0</v>
      </c>
      <c r="T468" s="57">
        <f t="shared" si="196"/>
        <v>0</v>
      </c>
      <c r="U468" s="57">
        <f t="shared" si="196"/>
        <v>0</v>
      </c>
      <c r="V468" s="57">
        <f t="shared" si="196"/>
        <v>0</v>
      </c>
      <c r="W468" s="57">
        <f t="shared" si="196"/>
        <v>0</v>
      </c>
      <c r="X468" s="57">
        <f t="shared" si="196"/>
        <v>0</v>
      </c>
      <c r="Y468" s="57">
        <f t="shared" si="196"/>
        <v>0</v>
      </c>
      <c r="Z468" s="57">
        <f t="shared" si="196"/>
        <v>0</v>
      </c>
      <c r="AA468" s="57">
        <f t="shared" si="196"/>
        <v>0</v>
      </c>
    </row>
    <row r="469" spans="2:27" s="4" customFormat="1" ht="17" outlineLevel="1">
      <c r="B469" s="25" t="s">
        <v>47</v>
      </c>
      <c r="C469" s="24"/>
      <c r="D469" s="65">
        <f t="shared" si="171"/>
        <v>14638.8687907</v>
      </c>
      <c r="G469" s="57">
        <f>+G183-F183</f>
        <v>8434.72608202224</v>
      </c>
      <c r="H469" s="57">
        <f t="shared" ref="H469:AA469" si="197">+H183-G183</f>
        <v>6204.1427086777603</v>
      </c>
      <c r="I469" s="57">
        <f t="shared" si="197"/>
        <v>0</v>
      </c>
      <c r="J469" s="57">
        <f t="shared" si="197"/>
        <v>0</v>
      </c>
      <c r="K469" s="57">
        <f t="shared" si="197"/>
        <v>0</v>
      </c>
      <c r="L469" s="57">
        <f t="shared" si="197"/>
        <v>0</v>
      </c>
      <c r="M469" s="57">
        <f t="shared" si="197"/>
        <v>0</v>
      </c>
      <c r="N469" s="57">
        <f t="shared" si="197"/>
        <v>0</v>
      </c>
      <c r="O469" s="57">
        <f t="shared" si="197"/>
        <v>0</v>
      </c>
      <c r="P469" s="57">
        <f t="shared" si="197"/>
        <v>0</v>
      </c>
      <c r="Q469" s="57">
        <f t="shared" si="197"/>
        <v>0</v>
      </c>
      <c r="R469" s="57">
        <f t="shared" si="197"/>
        <v>0</v>
      </c>
      <c r="S469" s="57">
        <f t="shared" si="197"/>
        <v>0</v>
      </c>
      <c r="T469" s="57">
        <f t="shared" si="197"/>
        <v>0</v>
      </c>
      <c r="U469" s="57">
        <f t="shared" si="197"/>
        <v>0</v>
      </c>
      <c r="V469" s="57">
        <f t="shared" si="197"/>
        <v>0</v>
      </c>
      <c r="W469" s="57">
        <f t="shared" si="197"/>
        <v>0</v>
      </c>
      <c r="X469" s="57">
        <f t="shared" si="197"/>
        <v>0</v>
      </c>
      <c r="Y469" s="57">
        <f t="shared" si="197"/>
        <v>0</v>
      </c>
      <c r="Z469" s="57">
        <f t="shared" si="197"/>
        <v>0</v>
      </c>
      <c r="AA469" s="57">
        <f t="shared" si="197"/>
        <v>0</v>
      </c>
    </row>
    <row r="470" spans="2:27" s="4" customFormat="1" ht="17" outlineLevel="1">
      <c r="B470" s="25" t="s">
        <v>49</v>
      </c>
      <c r="C470" s="24"/>
      <c r="D470" s="65">
        <f t="shared" si="171"/>
        <v>38420.444764017084</v>
      </c>
      <c r="G470" s="57">
        <f>+G215+G247-F215-F247</f>
        <v>20802.000028999999</v>
      </c>
      <c r="H470" s="57">
        <f t="shared" ref="H470:AA470" si="198">+H215+H247-G215-G247</f>
        <v>0</v>
      </c>
      <c r="I470" s="57">
        <f t="shared" si="198"/>
        <v>8042.8200215353027</v>
      </c>
      <c r="J470" s="57">
        <f t="shared" si="198"/>
        <v>9575.6247134817841</v>
      </c>
      <c r="K470" s="57">
        <f t="shared" si="198"/>
        <v>0</v>
      </c>
      <c r="L470" s="57">
        <f t="shared" si="198"/>
        <v>0</v>
      </c>
      <c r="M470" s="57">
        <f t="shared" si="198"/>
        <v>0</v>
      </c>
      <c r="N470" s="57">
        <f t="shared" si="198"/>
        <v>0</v>
      </c>
      <c r="O470" s="57">
        <f t="shared" si="198"/>
        <v>0</v>
      </c>
      <c r="P470" s="57">
        <f t="shared" si="198"/>
        <v>0</v>
      </c>
      <c r="Q470" s="57">
        <f t="shared" si="198"/>
        <v>0</v>
      </c>
      <c r="R470" s="57">
        <f t="shared" si="198"/>
        <v>0</v>
      </c>
      <c r="S470" s="57">
        <f t="shared" si="198"/>
        <v>0</v>
      </c>
      <c r="T470" s="57">
        <f t="shared" si="198"/>
        <v>0</v>
      </c>
      <c r="U470" s="57">
        <f t="shared" si="198"/>
        <v>0</v>
      </c>
      <c r="V470" s="57">
        <f t="shared" si="198"/>
        <v>0</v>
      </c>
      <c r="W470" s="57">
        <f t="shared" si="198"/>
        <v>0</v>
      </c>
      <c r="X470" s="57">
        <f t="shared" si="198"/>
        <v>0</v>
      </c>
      <c r="Y470" s="57">
        <f t="shared" si="198"/>
        <v>0</v>
      </c>
      <c r="Z470" s="57">
        <f t="shared" si="198"/>
        <v>0</v>
      </c>
      <c r="AA470" s="57">
        <f t="shared" si="198"/>
        <v>0</v>
      </c>
    </row>
    <row r="471" spans="2:27" s="4" customFormat="1" ht="17" outlineLevel="1">
      <c r="B471" s="25" t="s">
        <v>48</v>
      </c>
      <c r="C471" s="24"/>
      <c r="D471" s="65">
        <f t="shared" si="171"/>
        <v>34557.361357999995</v>
      </c>
      <c r="G471" s="57">
        <f>+G279+G311+G343+G375-F279-F311-F343-F375</f>
        <v>0</v>
      </c>
      <c r="H471" s="57">
        <f t="shared" ref="H471:AA471" si="199">+H279+H311+H343+H375-G279-G311-G343-G375</f>
        <v>2395.3103459999998</v>
      </c>
      <c r="I471" s="57">
        <f t="shared" si="199"/>
        <v>6128.1345841551611</v>
      </c>
      <c r="J471" s="57">
        <f t="shared" si="199"/>
        <v>6458.3031127948379</v>
      </c>
      <c r="K471" s="57">
        <f t="shared" si="199"/>
        <v>6318.3987652500009</v>
      </c>
      <c r="L471" s="57">
        <f t="shared" si="199"/>
        <v>5856.0871180500008</v>
      </c>
      <c r="M471" s="57">
        <f t="shared" si="199"/>
        <v>7401.1274317499947</v>
      </c>
      <c r="N471" s="57">
        <f t="shared" si="199"/>
        <v>0</v>
      </c>
      <c r="O471" s="57">
        <f t="shared" si="199"/>
        <v>0</v>
      </c>
      <c r="P471" s="57">
        <f t="shared" si="199"/>
        <v>0</v>
      </c>
      <c r="Q471" s="57">
        <f t="shared" si="199"/>
        <v>0</v>
      </c>
      <c r="R471" s="57">
        <f t="shared" si="199"/>
        <v>0</v>
      </c>
      <c r="S471" s="57">
        <f t="shared" si="199"/>
        <v>0</v>
      </c>
      <c r="T471" s="57">
        <f t="shared" si="199"/>
        <v>0</v>
      </c>
      <c r="U471" s="57">
        <f t="shared" si="199"/>
        <v>0</v>
      </c>
      <c r="V471" s="57">
        <f t="shared" si="199"/>
        <v>0</v>
      </c>
      <c r="W471" s="57">
        <f t="shared" si="199"/>
        <v>0</v>
      </c>
      <c r="X471" s="57">
        <f t="shared" si="199"/>
        <v>0</v>
      </c>
      <c r="Y471" s="57">
        <f t="shared" si="199"/>
        <v>0</v>
      </c>
      <c r="Z471" s="57">
        <f t="shared" si="199"/>
        <v>0</v>
      </c>
      <c r="AA471" s="57">
        <f t="shared" si="199"/>
        <v>0</v>
      </c>
    </row>
    <row r="472" spans="2:27" s="4" customFormat="1" ht="17">
      <c r="B472" s="75" t="s">
        <v>246</v>
      </c>
      <c r="C472" s="24"/>
      <c r="D472" s="65">
        <f t="shared" si="171"/>
        <v>6621.4805330501904</v>
      </c>
      <c r="G472" s="68">
        <f>+SUM(G473:G477)</f>
        <v>1189.4800270942387</v>
      </c>
      <c r="H472" s="68">
        <f t="shared" ref="H472:AA472" si="200">+SUM(H473:H477)</f>
        <v>1352.7487824768691</v>
      </c>
      <c r="I472" s="68">
        <f t="shared" si="200"/>
        <v>997.96011057087958</v>
      </c>
      <c r="J472" s="68">
        <f t="shared" si="200"/>
        <v>1800.6440128582033</v>
      </c>
      <c r="K472" s="68">
        <f t="shared" si="200"/>
        <v>413.3531902499999</v>
      </c>
      <c r="L472" s="68">
        <f t="shared" si="200"/>
        <v>383.10850304999894</v>
      </c>
      <c r="M472" s="68">
        <f t="shared" si="200"/>
        <v>484.18590675000087</v>
      </c>
      <c r="N472" s="68">
        <f t="shared" si="200"/>
        <v>0</v>
      </c>
      <c r="O472" s="68">
        <f t="shared" si="200"/>
        <v>0</v>
      </c>
      <c r="P472" s="68">
        <f t="shared" si="200"/>
        <v>0</v>
      </c>
      <c r="Q472" s="68">
        <f t="shared" si="200"/>
        <v>0</v>
      </c>
      <c r="R472" s="68">
        <f t="shared" si="200"/>
        <v>0</v>
      </c>
      <c r="S472" s="68">
        <f t="shared" si="200"/>
        <v>0</v>
      </c>
      <c r="T472" s="68">
        <f t="shared" si="200"/>
        <v>0</v>
      </c>
      <c r="U472" s="68">
        <f t="shared" si="200"/>
        <v>0</v>
      </c>
      <c r="V472" s="68">
        <f t="shared" si="200"/>
        <v>0</v>
      </c>
      <c r="W472" s="68">
        <f t="shared" si="200"/>
        <v>0</v>
      </c>
      <c r="X472" s="68">
        <f t="shared" si="200"/>
        <v>0</v>
      </c>
      <c r="Y472" s="68">
        <f t="shared" si="200"/>
        <v>0</v>
      </c>
      <c r="Z472" s="68">
        <f t="shared" si="200"/>
        <v>0</v>
      </c>
      <c r="AA472" s="68">
        <f t="shared" si="200"/>
        <v>0</v>
      </c>
    </row>
    <row r="473" spans="2:27" s="4" customFormat="1" ht="17" outlineLevel="1">
      <c r="B473" s="25" t="s">
        <v>43</v>
      </c>
      <c r="C473" s="24"/>
      <c r="D473" s="65">
        <f t="shared" si="171"/>
        <v>0</v>
      </c>
      <c r="G473" s="57">
        <f>+G23-G27+G55-G59-F23+F27-F55+F59</f>
        <v>0</v>
      </c>
      <c r="H473" s="57">
        <f t="shared" ref="H473:AA473" si="201">+H23-H27+H55-H59-G23+G27-G55+G59</f>
        <v>0</v>
      </c>
      <c r="I473" s="57">
        <f t="shared" si="201"/>
        <v>0</v>
      </c>
      <c r="J473" s="57">
        <f t="shared" si="201"/>
        <v>0</v>
      </c>
      <c r="K473" s="57">
        <f t="shared" si="201"/>
        <v>0</v>
      </c>
      <c r="L473" s="57">
        <f t="shared" si="201"/>
        <v>0</v>
      </c>
      <c r="M473" s="57">
        <f t="shared" si="201"/>
        <v>0</v>
      </c>
      <c r="N473" s="57">
        <f t="shared" si="201"/>
        <v>0</v>
      </c>
      <c r="O473" s="57">
        <f t="shared" si="201"/>
        <v>0</v>
      </c>
      <c r="P473" s="57">
        <f t="shared" si="201"/>
        <v>0</v>
      </c>
      <c r="Q473" s="57">
        <f t="shared" si="201"/>
        <v>0</v>
      </c>
      <c r="R473" s="57">
        <f t="shared" si="201"/>
        <v>0</v>
      </c>
      <c r="S473" s="57">
        <f t="shared" si="201"/>
        <v>0</v>
      </c>
      <c r="T473" s="57">
        <f t="shared" si="201"/>
        <v>0</v>
      </c>
      <c r="U473" s="57">
        <f t="shared" si="201"/>
        <v>0</v>
      </c>
      <c r="V473" s="57">
        <f t="shared" si="201"/>
        <v>0</v>
      </c>
      <c r="W473" s="57">
        <f t="shared" si="201"/>
        <v>0</v>
      </c>
      <c r="X473" s="57">
        <f t="shared" si="201"/>
        <v>0</v>
      </c>
      <c r="Y473" s="57">
        <f t="shared" si="201"/>
        <v>0</v>
      </c>
      <c r="Z473" s="57">
        <f t="shared" si="201"/>
        <v>0</v>
      </c>
      <c r="AA473" s="57">
        <f t="shared" si="201"/>
        <v>0</v>
      </c>
    </row>
    <row r="474" spans="2:27" s="4" customFormat="1" ht="17" outlineLevel="1">
      <c r="B474" s="25" t="s">
        <v>44</v>
      </c>
      <c r="C474" s="24"/>
      <c r="D474" s="65">
        <f t="shared" si="171"/>
        <v>2941.4726743331039</v>
      </c>
      <c r="G474" s="57">
        <f>+G87-G91+G119-G123-F87+F91-F119+F123</f>
        <v>659.83930779199909</v>
      </c>
      <c r="H474" s="57">
        <f t="shared" ref="H474:AA474" si="202">+H87-H91+H119-H123-G87+G91-G119+G123</f>
        <v>806.47026507910959</v>
      </c>
      <c r="I474" s="57">
        <f t="shared" si="202"/>
        <v>368.79077536549812</v>
      </c>
      <c r="J474" s="57">
        <f t="shared" si="202"/>
        <v>1106.3723260964971</v>
      </c>
      <c r="K474" s="57">
        <f t="shared" si="202"/>
        <v>0</v>
      </c>
      <c r="L474" s="57">
        <f t="shared" si="202"/>
        <v>0</v>
      </c>
      <c r="M474" s="57">
        <f t="shared" si="202"/>
        <v>0</v>
      </c>
      <c r="N474" s="57">
        <f t="shared" si="202"/>
        <v>0</v>
      </c>
      <c r="O474" s="57">
        <f t="shared" si="202"/>
        <v>0</v>
      </c>
      <c r="P474" s="57">
        <f t="shared" si="202"/>
        <v>0</v>
      </c>
      <c r="Q474" s="57">
        <f t="shared" si="202"/>
        <v>0</v>
      </c>
      <c r="R474" s="57">
        <f t="shared" si="202"/>
        <v>0</v>
      </c>
      <c r="S474" s="57">
        <f t="shared" si="202"/>
        <v>0</v>
      </c>
      <c r="T474" s="57">
        <f t="shared" si="202"/>
        <v>0</v>
      </c>
      <c r="U474" s="57">
        <f t="shared" si="202"/>
        <v>0</v>
      </c>
      <c r="V474" s="57">
        <f t="shared" si="202"/>
        <v>0</v>
      </c>
      <c r="W474" s="57">
        <f t="shared" si="202"/>
        <v>0</v>
      </c>
      <c r="X474" s="57">
        <f t="shared" si="202"/>
        <v>0</v>
      </c>
      <c r="Y474" s="57">
        <f t="shared" si="202"/>
        <v>0</v>
      </c>
      <c r="Z474" s="57">
        <f t="shared" si="202"/>
        <v>0</v>
      </c>
      <c r="AA474" s="57">
        <f t="shared" si="202"/>
        <v>0</v>
      </c>
    </row>
    <row r="475" spans="2:27" s="4" customFormat="1" ht="17" outlineLevel="1">
      <c r="B475" s="25" t="s">
        <v>47</v>
      </c>
      <c r="C475" s="24"/>
      <c r="D475" s="65">
        <f t="shared" si="171"/>
        <v>919.21669069999916</v>
      </c>
      <c r="G475" s="57">
        <f>+G183-G187-F183+F187</f>
        <v>529.64071930223963</v>
      </c>
      <c r="H475" s="57">
        <f t="shared" ref="H475:AA475" si="203">+H183-H187-G183+G187</f>
        <v>389.57597139775953</v>
      </c>
      <c r="I475" s="57">
        <f t="shared" si="203"/>
        <v>0</v>
      </c>
      <c r="J475" s="57">
        <f t="shared" si="203"/>
        <v>0</v>
      </c>
      <c r="K475" s="57">
        <f t="shared" si="203"/>
        <v>0</v>
      </c>
      <c r="L475" s="57">
        <f t="shared" si="203"/>
        <v>0</v>
      </c>
      <c r="M475" s="57">
        <f t="shared" si="203"/>
        <v>0</v>
      </c>
      <c r="N475" s="57">
        <f t="shared" si="203"/>
        <v>0</v>
      </c>
      <c r="O475" s="57">
        <f t="shared" si="203"/>
        <v>0</v>
      </c>
      <c r="P475" s="57">
        <f t="shared" si="203"/>
        <v>0</v>
      </c>
      <c r="Q475" s="57">
        <f t="shared" si="203"/>
        <v>0</v>
      </c>
      <c r="R475" s="57">
        <f t="shared" si="203"/>
        <v>0</v>
      </c>
      <c r="S475" s="57">
        <f t="shared" si="203"/>
        <v>0</v>
      </c>
      <c r="T475" s="57">
        <f t="shared" si="203"/>
        <v>0</v>
      </c>
      <c r="U475" s="57">
        <f t="shared" si="203"/>
        <v>0</v>
      </c>
      <c r="V475" s="57">
        <f t="shared" si="203"/>
        <v>0</v>
      </c>
      <c r="W475" s="57">
        <f t="shared" si="203"/>
        <v>0</v>
      </c>
      <c r="X475" s="57">
        <f t="shared" si="203"/>
        <v>0</v>
      </c>
      <c r="Y475" s="57">
        <f t="shared" si="203"/>
        <v>0</v>
      </c>
      <c r="Z475" s="57">
        <f t="shared" si="203"/>
        <v>0</v>
      </c>
      <c r="AA475" s="57">
        <f t="shared" si="203"/>
        <v>0</v>
      </c>
    </row>
    <row r="476" spans="2:27" s="4" customFormat="1" ht="17" outlineLevel="1">
      <c r="B476" s="25" t="s">
        <v>49</v>
      </c>
      <c r="C476" s="24"/>
      <c r="D476" s="65">
        <f t="shared" si="171"/>
        <v>500.02921001708819</v>
      </c>
      <c r="G476" s="57">
        <f>+G215-G219+G247-G251-F215+F219-F247+F251</f>
        <v>0</v>
      </c>
      <c r="H476" s="57">
        <f t="shared" ref="H476:AA476" si="204">+H215-H219+H247-H251-G215+G219-G247+G251</f>
        <v>0</v>
      </c>
      <c r="I476" s="57">
        <f t="shared" si="204"/>
        <v>228.26333437280118</v>
      </c>
      <c r="J476" s="57">
        <f t="shared" si="204"/>
        <v>271.76587564428701</v>
      </c>
      <c r="K476" s="57">
        <f t="shared" si="204"/>
        <v>0</v>
      </c>
      <c r="L476" s="57">
        <f t="shared" si="204"/>
        <v>0</v>
      </c>
      <c r="M476" s="57">
        <f t="shared" si="204"/>
        <v>0</v>
      </c>
      <c r="N476" s="57">
        <f t="shared" si="204"/>
        <v>0</v>
      </c>
      <c r="O476" s="57">
        <f t="shared" si="204"/>
        <v>0</v>
      </c>
      <c r="P476" s="57">
        <f t="shared" si="204"/>
        <v>0</v>
      </c>
      <c r="Q476" s="57">
        <f t="shared" si="204"/>
        <v>0</v>
      </c>
      <c r="R476" s="57">
        <f t="shared" si="204"/>
        <v>0</v>
      </c>
      <c r="S476" s="57">
        <f t="shared" si="204"/>
        <v>0</v>
      </c>
      <c r="T476" s="57">
        <f t="shared" si="204"/>
        <v>0</v>
      </c>
      <c r="U476" s="57">
        <f t="shared" si="204"/>
        <v>0</v>
      </c>
      <c r="V476" s="57">
        <f t="shared" si="204"/>
        <v>0</v>
      </c>
      <c r="W476" s="57">
        <f t="shared" si="204"/>
        <v>0</v>
      </c>
      <c r="X476" s="57">
        <f t="shared" si="204"/>
        <v>0</v>
      </c>
      <c r="Y476" s="57">
        <f t="shared" si="204"/>
        <v>0</v>
      </c>
      <c r="Z476" s="57">
        <f t="shared" si="204"/>
        <v>0</v>
      </c>
      <c r="AA476" s="57">
        <f t="shared" si="204"/>
        <v>0</v>
      </c>
    </row>
    <row r="477" spans="2:27" s="4" customFormat="1" ht="17" outlineLevel="1">
      <c r="B477" s="25" t="s">
        <v>48</v>
      </c>
      <c r="C477" s="24"/>
      <c r="D477" s="65">
        <f t="shared" si="171"/>
        <v>2260.7619579999991</v>
      </c>
      <c r="G477" s="57">
        <f>+G279-G283+G311-G315+G343-G347+G375-G379-(F279-F283+F311-F315+F343-F347+F375-F379)</f>
        <v>0</v>
      </c>
      <c r="H477" s="57">
        <f t="shared" ref="H477:AA477" si="205">+H279-H283+H311-H315+H343-H347+H375-H379-(G279-G283+G311-G315+G343-G347+G375-G379)</f>
        <v>156.70254599999998</v>
      </c>
      <c r="I477" s="57">
        <f t="shared" si="205"/>
        <v>400.90600083258028</v>
      </c>
      <c r="J477" s="57">
        <f t="shared" si="205"/>
        <v>422.50581111741917</v>
      </c>
      <c r="K477" s="57">
        <f t="shared" si="205"/>
        <v>413.3531902499999</v>
      </c>
      <c r="L477" s="57">
        <f t="shared" si="205"/>
        <v>383.10850304999894</v>
      </c>
      <c r="M477" s="57">
        <f t="shared" si="205"/>
        <v>484.18590675000087</v>
      </c>
      <c r="N477" s="57">
        <f t="shared" si="205"/>
        <v>0</v>
      </c>
      <c r="O477" s="57">
        <f t="shared" si="205"/>
        <v>0</v>
      </c>
      <c r="P477" s="57">
        <f t="shared" si="205"/>
        <v>0</v>
      </c>
      <c r="Q477" s="57">
        <f t="shared" si="205"/>
        <v>0</v>
      </c>
      <c r="R477" s="57">
        <f t="shared" si="205"/>
        <v>0</v>
      </c>
      <c r="S477" s="57">
        <f t="shared" si="205"/>
        <v>0</v>
      </c>
      <c r="T477" s="57">
        <f t="shared" si="205"/>
        <v>0</v>
      </c>
      <c r="U477" s="57">
        <f t="shared" si="205"/>
        <v>0</v>
      </c>
      <c r="V477" s="57">
        <f t="shared" si="205"/>
        <v>0</v>
      </c>
      <c r="W477" s="57">
        <f t="shared" si="205"/>
        <v>0</v>
      </c>
      <c r="X477" s="57">
        <f t="shared" si="205"/>
        <v>0</v>
      </c>
      <c r="Y477" s="57">
        <f t="shared" si="205"/>
        <v>0</v>
      </c>
      <c r="Z477" s="57">
        <f t="shared" si="205"/>
        <v>0</v>
      </c>
      <c r="AA477" s="57">
        <f t="shared" si="205"/>
        <v>0</v>
      </c>
    </row>
    <row r="478" spans="2:27" s="4" customFormat="1" ht="17">
      <c r="B478" s="75" t="s">
        <v>5</v>
      </c>
      <c r="C478" s="24"/>
      <c r="D478" s="65">
        <f t="shared" si="171"/>
        <v>6621.4805330501904</v>
      </c>
      <c r="G478" s="68">
        <f t="shared" ref="G478:AA478" si="206">+SUM(G479:G483)</f>
        <v>542</v>
      </c>
      <c r="H478" s="68">
        <f t="shared" si="206"/>
        <v>924.30957287110868</v>
      </c>
      <c r="I478" s="68">
        <f t="shared" si="206"/>
        <v>1848.0166906999991</v>
      </c>
      <c r="J478" s="68">
        <f t="shared" si="206"/>
        <v>1568.734131479084</v>
      </c>
      <c r="K478" s="68">
        <f t="shared" si="206"/>
        <v>538.55592699999943</v>
      </c>
      <c r="L478" s="68">
        <f t="shared" si="206"/>
        <v>332.56980120000026</v>
      </c>
      <c r="M478" s="68">
        <f t="shared" si="206"/>
        <v>867.2944097999989</v>
      </c>
      <c r="N478" s="68">
        <f t="shared" si="206"/>
        <v>0</v>
      </c>
      <c r="O478" s="68">
        <f t="shared" si="206"/>
        <v>0</v>
      </c>
      <c r="P478" s="68">
        <f t="shared" si="206"/>
        <v>0</v>
      </c>
      <c r="Q478" s="68">
        <f t="shared" si="206"/>
        <v>0</v>
      </c>
      <c r="R478" s="68">
        <f t="shared" si="206"/>
        <v>0</v>
      </c>
      <c r="S478" s="68">
        <f t="shared" si="206"/>
        <v>0</v>
      </c>
      <c r="T478" s="68">
        <f t="shared" si="206"/>
        <v>0</v>
      </c>
      <c r="U478" s="68">
        <f t="shared" si="206"/>
        <v>0</v>
      </c>
      <c r="V478" s="68">
        <f t="shared" si="206"/>
        <v>0</v>
      </c>
      <c r="W478" s="68">
        <f t="shared" si="206"/>
        <v>0</v>
      </c>
      <c r="X478" s="68">
        <f t="shared" si="206"/>
        <v>0</v>
      </c>
      <c r="Y478" s="68">
        <f t="shared" si="206"/>
        <v>0</v>
      </c>
      <c r="Z478" s="68">
        <f t="shared" si="206"/>
        <v>0</v>
      </c>
      <c r="AA478" s="68">
        <f t="shared" si="206"/>
        <v>0</v>
      </c>
    </row>
    <row r="479" spans="2:27" s="4" customFormat="1" ht="17" outlineLevel="1">
      <c r="B479" s="25" t="s">
        <v>43</v>
      </c>
      <c r="C479" s="24"/>
      <c r="D479" s="65">
        <f t="shared" si="171"/>
        <v>0</v>
      </c>
      <c r="G479" s="57">
        <f>+G36+G68</f>
        <v>0</v>
      </c>
      <c r="H479" s="57">
        <f t="shared" ref="H479:AA479" si="207">+H36+H68</f>
        <v>0</v>
      </c>
      <c r="I479" s="57">
        <f t="shared" si="207"/>
        <v>0</v>
      </c>
      <c r="J479" s="57">
        <f t="shared" si="207"/>
        <v>0</v>
      </c>
      <c r="K479" s="57">
        <f t="shared" si="207"/>
        <v>0</v>
      </c>
      <c r="L479" s="57">
        <f t="shared" si="207"/>
        <v>0</v>
      </c>
      <c r="M479" s="57">
        <f t="shared" si="207"/>
        <v>0</v>
      </c>
      <c r="N479" s="57">
        <f t="shared" si="207"/>
        <v>0</v>
      </c>
      <c r="O479" s="57">
        <f t="shared" si="207"/>
        <v>0</v>
      </c>
      <c r="P479" s="57">
        <f t="shared" si="207"/>
        <v>0</v>
      </c>
      <c r="Q479" s="57">
        <f t="shared" si="207"/>
        <v>0</v>
      </c>
      <c r="R479" s="57">
        <f t="shared" si="207"/>
        <v>0</v>
      </c>
      <c r="S479" s="57">
        <f t="shared" si="207"/>
        <v>0</v>
      </c>
      <c r="T479" s="57">
        <f t="shared" si="207"/>
        <v>0</v>
      </c>
      <c r="U479" s="57">
        <f t="shared" si="207"/>
        <v>0</v>
      </c>
      <c r="V479" s="57">
        <f t="shared" si="207"/>
        <v>0</v>
      </c>
      <c r="W479" s="57">
        <f t="shared" si="207"/>
        <v>0</v>
      </c>
      <c r="X479" s="57">
        <f t="shared" si="207"/>
        <v>0</v>
      </c>
      <c r="Y479" s="57">
        <f t="shared" si="207"/>
        <v>0</v>
      </c>
      <c r="Z479" s="57">
        <f t="shared" si="207"/>
        <v>0</v>
      </c>
      <c r="AA479" s="57">
        <f t="shared" si="207"/>
        <v>0</v>
      </c>
    </row>
    <row r="480" spans="2:27" s="4" customFormat="1" ht="17" outlineLevel="1">
      <c r="B480" s="25" t="s">
        <v>44</v>
      </c>
      <c r="C480" s="24"/>
      <c r="D480" s="65">
        <f t="shared" si="171"/>
        <v>2941.4726743331048</v>
      </c>
      <c r="G480" s="57">
        <f>+G100+G132</f>
        <v>542</v>
      </c>
      <c r="H480" s="57">
        <f t="shared" ref="H480:AA480" si="208">+H100+H132</f>
        <v>924.30957287110868</v>
      </c>
      <c r="I480" s="57">
        <f t="shared" si="208"/>
        <v>928.8</v>
      </c>
      <c r="J480" s="57">
        <f t="shared" si="208"/>
        <v>546.36310146199617</v>
      </c>
      <c r="K480" s="57">
        <f t="shared" si="208"/>
        <v>0</v>
      </c>
      <c r="L480" s="57">
        <f t="shared" si="208"/>
        <v>0</v>
      </c>
      <c r="M480" s="57">
        <f t="shared" si="208"/>
        <v>0</v>
      </c>
      <c r="N480" s="57">
        <f t="shared" si="208"/>
        <v>0</v>
      </c>
      <c r="O480" s="57">
        <f t="shared" si="208"/>
        <v>0</v>
      </c>
      <c r="P480" s="57">
        <f t="shared" si="208"/>
        <v>0</v>
      </c>
      <c r="Q480" s="57">
        <f t="shared" si="208"/>
        <v>0</v>
      </c>
      <c r="R480" s="57">
        <f t="shared" si="208"/>
        <v>0</v>
      </c>
      <c r="S480" s="57">
        <f t="shared" si="208"/>
        <v>0</v>
      </c>
      <c r="T480" s="57">
        <f t="shared" si="208"/>
        <v>0</v>
      </c>
      <c r="U480" s="57">
        <f t="shared" si="208"/>
        <v>0</v>
      </c>
      <c r="V480" s="57">
        <f t="shared" si="208"/>
        <v>0</v>
      </c>
      <c r="W480" s="57">
        <f t="shared" si="208"/>
        <v>0</v>
      </c>
      <c r="X480" s="57">
        <f t="shared" si="208"/>
        <v>0</v>
      </c>
      <c r="Y480" s="57">
        <f t="shared" si="208"/>
        <v>0</v>
      </c>
      <c r="Z480" s="57">
        <f t="shared" si="208"/>
        <v>0</v>
      </c>
      <c r="AA480" s="57">
        <f t="shared" si="208"/>
        <v>0</v>
      </c>
    </row>
    <row r="481" spans="2:27" s="4" customFormat="1" ht="17" outlineLevel="1">
      <c r="B481" s="25" t="s">
        <v>47</v>
      </c>
      <c r="C481" s="24"/>
      <c r="D481" s="65">
        <f t="shared" si="171"/>
        <v>919.21669069999916</v>
      </c>
      <c r="G481" s="57">
        <f>+G196</f>
        <v>0</v>
      </c>
      <c r="H481" s="57">
        <f t="shared" ref="H481:AA481" si="209">+H196</f>
        <v>0</v>
      </c>
      <c r="I481" s="57">
        <f t="shared" si="209"/>
        <v>919.21669069999916</v>
      </c>
      <c r="J481" s="57">
        <f t="shared" si="209"/>
        <v>0</v>
      </c>
      <c r="K481" s="57">
        <f t="shared" si="209"/>
        <v>0</v>
      </c>
      <c r="L481" s="57">
        <f t="shared" si="209"/>
        <v>0</v>
      </c>
      <c r="M481" s="57">
        <f t="shared" si="209"/>
        <v>0</v>
      </c>
      <c r="N481" s="57">
        <f t="shared" si="209"/>
        <v>0</v>
      </c>
      <c r="O481" s="57">
        <f t="shared" si="209"/>
        <v>0</v>
      </c>
      <c r="P481" s="57">
        <f t="shared" si="209"/>
        <v>0</v>
      </c>
      <c r="Q481" s="57">
        <f t="shared" si="209"/>
        <v>0</v>
      </c>
      <c r="R481" s="57">
        <f t="shared" si="209"/>
        <v>0</v>
      </c>
      <c r="S481" s="57">
        <f t="shared" si="209"/>
        <v>0</v>
      </c>
      <c r="T481" s="57">
        <f t="shared" si="209"/>
        <v>0</v>
      </c>
      <c r="U481" s="57">
        <f t="shared" si="209"/>
        <v>0</v>
      </c>
      <c r="V481" s="57">
        <f t="shared" si="209"/>
        <v>0</v>
      </c>
      <c r="W481" s="57">
        <f t="shared" si="209"/>
        <v>0</v>
      </c>
      <c r="X481" s="57">
        <f t="shared" si="209"/>
        <v>0</v>
      </c>
      <c r="Y481" s="57">
        <f t="shared" si="209"/>
        <v>0</v>
      </c>
      <c r="Z481" s="57">
        <f t="shared" si="209"/>
        <v>0</v>
      </c>
      <c r="AA481" s="57">
        <f t="shared" si="209"/>
        <v>0</v>
      </c>
    </row>
    <row r="482" spans="2:27" s="4" customFormat="1" ht="17" outlineLevel="1">
      <c r="B482" s="25" t="s">
        <v>49</v>
      </c>
      <c r="C482" s="24"/>
      <c r="D482" s="65">
        <f t="shared" si="171"/>
        <v>500.02921001708819</v>
      </c>
      <c r="G482" s="57">
        <f>+G228+G260</f>
        <v>0</v>
      </c>
      <c r="H482" s="57">
        <f t="shared" ref="H482:AA482" si="210">+H228+H260</f>
        <v>0</v>
      </c>
      <c r="I482" s="57">
        <f t="shared" si="210"/>
        <v>0</v>
      </c>
      <c r="J482" s="57">
        <f t="shared" si="210"/>
        <v>500.02921001708819</v>
      </c>
      <c r="K482" s="57">
        <f t="shared" si="210"/>
        <v>0</v>
      </c>
      <c r="L482" s="57">
        <f t="shared" si="210"/>
        <v>0</v>
      </c>
      <c r="M482" s="57">
        <f t="shared" si="210"/>
        <v>0</v>
      </c>
      <c r="N482" s="57">
        <f t="shared" si="210"/>
        <v>0</v>
      </c>
      <c r="O482" s="57">
        <f t="shared" si="210"/>
        <v>0</v>
      </c>
      <c r="P482" s="57">
        <f t="shared" si="210"/>
        <v>0</v>
      </c>
      <c r="Q482" s="57">
        <f t="shared" si="210"/>
        <v>0</v>
      </c>
      <c r="R482" s="57">
        <f t="shared" si="210"/>
        <v>0</v>
      </c>
      <c r="S482" s="57">
        <f t="shared" si="210"/>
        <v>0</v>
      </c>
      <c r="T482" s="57">
        <f t="shared" si="210"/>
        <v>0</v>
      </c>
      <c r="U482" s="57">
        <f t="shared" si="210"/>
        <v>0</v>
      </c>
      <c r="V482" s="57">
        <f t="shared" si="210"/>
        <v>0</v>
      </c>
      <c r="W482" s="57">
        <f t="shared" si="210"/>
        <v>0</v>
      </c>
      <c r="X482" s="57">
        <f t="shared" si="210"/>
        <v>0</v>
      </c>
      <c r="Y482" s="57">
        <f t="shared" si="210"/>
        <v>0</v>
      </c>
      <c r="Z482" s="57">
        <f t="shared" si="210"/>
        <v>0</v>
      </c>
      <c r="AA482" s="57">
        <f t="shared" si="210"/>
        <v>0</v>
      </c>
    </row>
    <row r="483" spans="2:27" s="4" customFormat="1" ht="17" outlineLevel="1">
      <c r="B483" s="25" t="s">
        <v>48</v>
      </c>
      <c r="C483" s="24"/>
      <c r="D483" s="65">
        <f t="shared" si="171"/>
        <v>2260.7619579999982</v>
      </c>
      <c r="G483" s="57">
        <f>+G292+G324+G356+G388</f>
        <v>0</v>
      </c>
      <c r="H483" s="57">
        <f t="shared" ref="H483:AA483" si="211">+H292+H324+H356+H388</f>
        <v>0</v>
      </c>
      <c r="I483" s="57">
        <f t="shared" si="211"/>
        <v>0</v>
      </c>
      <c r="J483" s="57">
        <f t="shared" si="211"/>
        <v>522.34181999999964</v>
      </c>
      <c r="K483" s="57">
        <f t="shared" si="211"/>
        <v>538.55592699999943</v>
      </c>
      <c r="L483" s="57">
        <f t="shared" si="211"/>
        <v>332.56980120000026</v>
      </c>
      <c r="M483" s="57">
        <f t="shared" si="211"/>
        <v>867.2944097999989</v>
      </c>
      <c r="N483" s="57">
        <f t="shared" si="211"/>
        <v>0</v>
      </c>
      <c r="O483" s="57">
        <f t="shared" si="211"/>
        <v>0</v>
      </c>
      <c r="P483" s="57">
        <f t="shared" si="211"/>
        <v>0</v>
      </c>
      <c r="Q483" s="57">
        <f t="shared" si="211"/>
        <v>0</v>
      </c>
      <c r="R483" s="57">
        <f t="shared" si="211"/>
        <v>0</v>
      </c>
      <c r="S483" s="57">
        <f t="shared" si="211"/>
        <v>0</v>
      </c>
      <c r="T483" s="57">
        <f t="shared" si="211"/>
        <v>0</v>
      </c>
      <c r="U483" s="57">
        <f t="shared" si="211"/>
        <v>0</v>
      </c>
      <c r="V483" s="57">
        <f t="shared" si="211"/>
        <v>0</v>
      </c>
      <c r="W483" s="57">
        <f t="shared" si="211"/>
        <v>0</v>
      </c>
      <c r="X483" s="57">
        <f t="shared" si="211"/>
        <v>0</v>
      </c>
      <c r="Y483" s="57">
        <f t="shared" si="211"/>
        <v>0</v>
      </c>
      <c r="Z483" s="57">
        <f t="shared" si="211"/>
        <v>0</v>
      </c>
      <c r="AA483" s="57">
        <f t="shared" si="211"/>
        <v>0</v>
      </c>
    </row>
    <row r="484" spans="2:27" s="4" customFormat="1">
      <c r="B484" s="25"/>
      <c r="C484" s="24"/>
      <c r="D484" s="65">
        <f t="shared" si="171"/>
        <v>0</v>
      </c>
    </row>
    <row r="485" spans="2:27" s="4" customFormat="1">
      <c r="B485" s="25"/>
      <c r="C485" s="24"/>
      <c r="D485" s="65">
        <f t="shared" si="171"/>
        <v>0</v>
      </c>
    </row>
    <row r="486" spans="2:27" s="4" customFormat="1" ht="17">
      <c r="B486" s="76" t="s">
        <v>10</v>
      </c>
      <c r="C486" s="24"/>
      <c r="D486" s="65">
        <f t="shared" si="171"/>
        <v>0</v>
      </c>
    </row>
    <row r="487" spans="2:27" s="4" customFormat="1" ht="17">
      <c r="B487" s="75" t="s">
        <v>2</v>
      </c>
      <c r="C487" s="153">
        <f>+D487/$D$427</f>
        <v>0.35761477672381148</v>
      </c>
      <c r="D487" s="65">
        <f t="shared" si="171"/>
        <v>69672.59648096106</v>
      </c>
      <c r="G487" s="68">
        <f>+SUM(G488:G492)</f>
        <v>16778.6712498538</v>
      </c>
      <c r="H487" s="68">
        <f t="shared" ref="H487:AA487" si="212">+SUM(H488:H492)</f>
        <v>12128.218445099805</v>
      </c>
      <c r="I487" s="68">
        <f t="shared" si="212"/>
        <v>10188.694517374</v>
      </c>
      <c r="J487" s="68">
        <f t="shared" si="212"/>
        <v>20216.272343688448</v>
      </c>
      <c r="K487" s="68">
        <f t="shared" si="212"/>
        <v>3376.5349157250021</v>
      </c>
      <c r="L487" s="68">
        <f t="shared" si="212"/>
        <v>3100.3697816450017</v>
      </c>
      <c r="M487" s="68">
        <f t="shared" si="212"/>
        <v>3883.8352275749994</v>
      </c>
      <c r="N487" s="68">
        <f t="shared" si="212"/>
        <v>0</v>
      </c>
      <c r="O487" s="68">
        <f t="shared" si="212"/>
        <v>0</v>
      </c>
      <c r="P487" s="68">
        <f t="shared" si="212"/>
        <v>0</v>
      </c>
      <c r="Q487" s="68">
        <f t="shared" si="212"/>
        <v>0</v>
      </c>
      <c r="R487" s="68">
        <f t="shared" si="212"/>
        <v>0</v>
      </c>
      <c r="S487" s="68">
        <f t="shared" si="212"/>
        <v>0</v>
      </c>
      <c r="T487" s="68">
        <f t="shared" si="212"/>
        <v>0</v>
      </c>
      <c r="U487" s="68">
        <f t="shared" si="212"/>
        <v>0</v>
      </c>
      <c r="V487" s="68">
        <f t="shared" si="212"/>
        <v>0</v>
      </c>
      <c r="W487" s="68">
        <f t="shared" si="212"/>
        <v>0</v>
      </c>
      <c r="X487" s="68">
        <f t="shared" si="212"/>
        <v>0</v>
      </c>
      <c r="Y487" s="68">
        <f t="shared" si="212"/>
        <v>0</v>
      </c>
      <c r="Z487" s="68">
        <f t="shared" si="212"/>
        <v>0</v>
      </c>
      <c r="AA487" s="68">
        <f t="shared" si="212"/>
        <v>0</v>
      </c>
    </row>
    <row r="488" spans="2:27" s="4" customFormat="1" ht="17" outlineLevel="1">
      <c r="B488" s="25" t="s">
        <v>43</v>
      </c>
      <c r="C488" s="24"/>
      <c r="D488" s="65">
        <f t="shared" si="171"/>
        <v>10925.952039163634</v>
      </c>
      <c r="G488" s="57">
        <f>+G24+G56-F24-F56</f>
        <v>5146.5532969044971</v>
      </c>
      <c r="H488" s="57">
        <f t="shared" ref="H488:AA488" si="213">+H24+H56-G24-G56</f>
        <v>4245.3814045136833</v>
      </c>
      <c r="I488" s="57">
        <f t="shared" si="213"/>
        <v>1324.5211544727276</v>
      </c>
      <c r="J488" s="57">
        <f t="shared" si="213"/>
        <v>209.49618327272628</v>
      </c>
      <c r="K488" s="57">
        <f t="shared" si="213"/>
        <v>0</v>
      </c>
      <c r="L488" s="57">
        <f t="shared" si="213"/>
        <v>0</v>
      </c>
      <c r="M488" s="57">
        <f t="shared" si="213"/>
        <v>0</v>
      </c>
      <c r="N488" s="57">
        <f t="shared" si="213"/>
        <v>0</v>
      </c>
      <c r="O488" s="57">
        <f t="shared" si="213"/>
        <v>0</v>
      </c>
      <c r="P488" s="57">
        <f t="shared" si="213"/>
        <v>0</v>
      </c>
      <c r="Q488" s="57">
        <f t="shared" si="213"/>
        <v>0</v>
      </c>
      <c r="R488" s="57">
        <f t="shared" si="213"/>
        <v>0</v>
      </c>
      <c r="S488" s="57">
        <f t="shared" si="213"/>
        <v>0</v>
      </c>
      <c r="T488" s="57">
        <f t="shared" si="213"/>
        <v>0</v>
      </c>
      <c r="U488" s="57">
        <f t="shared" si="213"/>
        <v>0</v>
      </c>
      <c r="V488" s="57">
        <f t="shared" si="213"/>
        <v>0</v>
      </c>
      <c r="W488" s="57">
        <f t="shared" si="213"/>
        <v>0</v>
      </c>
      <c r="X488" s="57">
        <f t="shared" si="213"/>
        <v>0</v>
      </c>
      <c r="Y488" s="57">
        <f t="shared" si="213"/>
        <v>0</v>
      </c>
      <c r="Z488" s="57">
        <f t="shared" si="213"/>
        <v>0</v>
      </c>
      <c r="AA488" s="57">
        <f t="shared" si="213"/>
        <v>0</v>
      </c>
    </row>
    <row r="489" spans="2:27" s="4" customFormat="1" ht="17" outlineLevel="1">
      <c r="B489" s="25" t="s">
        <v>44</v>
      </c>
      <c r="C489" s="24"/>
      <c r="D489" s="65">
        <f t="shared" si="171"/>
        <v>25930.735555297415</v>
      </c>
      <c r="G489" s="57">
        <f>+G88+G119-F88-F119</f>
        <v>1760.6718692259408</v>
      </c>
      <c r="H489" s="57">
        <f t="shared" ref="H489:AA489" si="214">+H88+H119-G88-G119</f>
        <v>2151.9322846094828</v>
      </c>
      <c r="I489" s="57">
        <f t="shared" si="214"/>
        <v>5504.5328503654982</v>
      </c>
      <c r="J489" s="57">
        <f t="shared" si="214"/>
        <v>16513.598551096493</v>
      </c>
      <c r="K489" s="57">
        <f t="shared" si="214"/>
        <v>0</v>
      </c>
      <c r="L489" s="57">
        <f t="shared" si="214"/>
        <v>0</v>
      </c>
      <c r="M489" s="57">
        <f t="shared" si="214"/>
        <v>0</v>
      </c>
      <c r="N489" s="57">
        <f t="shared" si="214"/>
        <v>0</v>
      </c>
      <c r="O489" s="57">
        <f t="shared" si="214"/>
        <v>0</v>
      </c>
      <c r="P489" s="57">
        <f t="shared" si="214"/>
        <v>0</v>
      </c>
      <c r="Q489" s="57">
        <f t="shared" si="214"/>
        <v>0</v>
      </c>
      <c r="R489" s="57">
        <f t="shared" si="214"/>
        <v>0</v>
      </c>
      <c r="S489" s="57">
        <f t="shared" si="214"/>
        <v>0</v>
      </c>
      <c r="T489" s="57">
        <f t="shared" si="214"/>
        <v>0</v>
      </c>
      <c r="U489" s="57">
        <f t="shared" si="214"/>
        <v>0</v>
      </c>
      <c r="V489" s="57">
        <f t="shared" si="214"/>
        <v>0</v>
      </c>
      <c r="W489" s="57">
        <f t="shared" si="214"/>
        <v>0</v>
      </c>
      <c r="X489" s="57">
        <f t="shared" si="214"/>
        <v>0</v>
      </c>
      <c r="Y489" s="57">
        <f t="shared" si="214"/>
        <v>0</v>
      </c>
      <c r="Z489" s="57">
        <f t="shared" si="214"/>
        <v>0</v>
      </c>
      <c r="AA489" s="57">
        <f t="shared" si="214"/>
        <v>0</v>
      </c>
    </row>
    <row r="490" spans="2:27" s="4" customFormat="1" ht="17" outlineLevel="1">
      <c r="B490" s="25" t="s">
        <v>47</v>
      </c>
      <c r="C490" s="24"/>
      <c r="D490" s="65">
        <f t="shared" si="171"/>
        <v>10419.7381673</v>
      </c>
      <c r="G490" s="57">
        <f>+G184-F184</f>
        <v>6003.7178107233603</v>
      </c>
      <c r="H490" s="57">
        <f t="shared" ref="H490:AA490" si="215">+H184-G184</f>
        <v>4416.0203565766396</v>
      </c>
      <c r="I490" s="57">
        <f t="shared" si="215"/>
        <v>0</v>
      </c>
      <c r="J490" s="57">
        <f t="shared" si="215"/>
        <v>0</v>
      </c>
      <c r="K490" s="57">
        <f t="shared" si="215"/>
        <v>0</v>
      </c>
      <c r="L490" s="57">
        <f t="shared" si="215"/>
        <v>0</v>
      </c>
      <c r="M490" s="57">
        <f t="shared" si="215"/>
        <v>0</v>
      </c>
      <c r="N490" s="57">
        <f t="shared" si="215"/>
        <v>0</v>
      </c>
      <c r="O490" s="57">
        <f t="shared" si="215"/>
        <v>0</v>
      </c>
      <c r="P490" s="57">
        <f t="shared" si="215"/>
        <v>0</v>
      </c>
      <c r="Q490" s="57">
        <f t="shared" si="215"/>
        <v>0</v>
      </c>
      <c r="R490" s="57">
        <f t="shared" si="215"/>
        <v>0</v>
      </c>
      <c r="S490" s="57">
        <f t="shared" si="215"/>
        <v>0</v>
      </c>
      <c r="T490" s="57">
        <f t="shared" si="215"/>
        <v>0</v>
      </c>
      <c r="U490" s="57">
        <f t="shared" si="215"/>
        <v>0</v>
      </c>
      <c r="V490" s="57">
        <f t="shared" si="215"/>
        <v>0</v>
      </c>
      <c r="W490" s="57">
        <f t="shared" si="215"/>
        <v>0</v>
      </c>
      <c r="X490" s="57">
        <f t="shared" si="215"/>
        <v>0</v>
      </c>
      <c r="Y490" s="57">
        <f t="shared" si="215"/>
        <v>0</v>
      </c>
      <c r="Z490" s="57">
        <f t="shared" si="215"/>
        <v>0</v>
      </c>
      <c r="AA490" s="57">
        <f t="shared" si="215"/>
        <v>0</v>
      </c>
    </row>
    <row r="491" spans="2:27" s="4" customFormat="1" ht="17" outlineLevel="1">
      <c r="B491" s="25" t="s">
        <v>49</v>
      </c>
      <c r="C491" s="24"/>
      <c r="D491" s="65">
        <f t="shared" si="171"/>
        <v>3867.7282729999997</v>
      </c>
      <c r="G491" s="57">
        <f>+G216+G248-F216-F248</f>
        <v>3867.7282729999997</v>
      </c>
      <c r="H491" s="57">
        <f t="shared" ref="H491:AA491" si="216">+H216+H248-G216-G248</f>
        <v>0</v>
      </c>
      <c r="I491" s="57">
        <f t="shared" si="216"/>
        <v>0</v>
      </c>
      <c r="J491" s="57">
        <f t="shared" si="216"/>
        <v>0</v>
      </c>
      <c r="K491" s="57">
        <f t="shared" si="216"/>
        <v>0</v>
      </c>
      <c r="L491" s="57">
        <f t="shared" si="216"/>
        <v>0</v>
      </c>
      <c r="M491" s="57">
        <f t="shared" si="216"/>
        <v>0</v>
      </c>
      <c r="N491" s="57">
        <f t="shared" si="216"/>
        <v>0</v>
      </c>
      <c r="O491" s="57">
        <f t="shared" si="216"/>
        <v>0</v>
      </c>
      <c r="P491" s="57">
        <f t="shared" si="216"/>
        <v>0</v>
      </c>
      <c r="Q491" s="57">
        <f t="shared" si="216"/>
        <v>0</v>
      </c>
      <c r="R491" s="57">
        <f t="shared" si="216"/>
        <v>0</v>
      </c>
      <c r="S491" s="57">
        <f t="shared" si="216"/>
        <v>0</v>
      </c>
      <c r="T491" s="57">
        <f t="shared" si="216"/>
        <v>0</v>
      </c>
      <c r="U491" s="57">
        <f t="shared" si="216"/>
        <v>0</v>
      </c>
      <c r="V491" s="57">
        <f t="shared" si="216"/>
        <v>0</v>
      </c>
      <c r="W491" s="57">
        <f t="shared" si="216"/>
        <v>0</v>
      </c>
      <c r="X491" s="57">
        <f t="shared" si="216"/>
        <v>0</v>
      </c>
      <c r="Y491" s="57">
        <f t="shared" si="216"/>
        <v>0</v>
      </c>
      <c r="Z491" s="57">
        <f t="shared" si="216"/>
        <v>0</v>
      </c>
      <c r="AA491" s="57">
        <f t="shared" si="216"/>
        <v>0</v>
      </c>
    </row>
    <row r="492" spans="2:27" s="4" customFormat="1" ht="17" outlineLevel="1">
      <c r="B492" s="25" t="s">
        <v>48</v>
      </c>
      <c r="C492" s="24"/>
      <c r="D492" s="65">
        <f t="shared" si="171"/>
        <v>18528.442446200002</v>
      </c>
      <c r="G492" s="57">
        <f>+G280+G312+G344+G376-F280-F312-F344-F376</f>
        <v>0</v>
      </c>
      <c r="H492" s="57">
        <f t="shared" ref="H492:AA492" si="217">+H280+H312+H344+H376-G280-G312-G344-G376</f>
        <v>1314.8843993999999</v>
      </c>
      <c r="I492" s="57">
        <f t="shared" si="217"/>
        <v>3359.6405125357742</v>
      </c>
      <c r="J492" s="57">
        <f t="shared" si="217"/>
        <v>3493.1776093192257</v>
      </c>
      <c r="K492" s="57">
        <f t="shared" si="217"/>
        <v>3376.5349157250021</v>
      </c>
      <c r="L492" s="57">
        <f t="shared" si="217"/>
        <v>3100.3697816450017</v>
      </c>
      <c r="M492" s="57">
        <f t="shared" si="217"/>
        <v>3883.8352275749994</v>
      </c>
      <c r="N492" s="57">
        <f t="shared" si="217"/>
        <v>0</v>
      </c>
      <c r="O492" s="57">
        <f t="shared" si="217"/>
        <v>0</v>
      </c>
      <c r="P492" s="57">
        <f t="shared" si="217"/>
        <v>0</v>
      </c>
      <c r="Q492" s="57">
        <f t="shared" si="217"/>
        <v>0</v>
      </c>
      <c r="R492" s="57">
        <f t="shared" si="217"/>
        <v>0</v>
      </c>
      <c r="S492" s="57">
        <f t="shared" si="217"/>
        <v>0</v>
      </c>
      <c r="T492" s="57">
        <f t="shared" si="217"/>
        <v>0</v>
      </c>
      <c r="U492" s="57">
        <f t="shared" si="217"/>
        <v>0</v>
      </c>
      <c r="V492" s="57">
        <f t="shared" si="217"/>
        <v>0</v>
      </c>
      <c r="W492" s="57">
        <f t="shared" si="217"/>
        <v>0</v>
      </c>
      <c r="X492" s="57">
        <f t="shared" si="217"/>
        <v>0</v>
      </c>
      <c r="Y492" s="57">
        <f t="shared" si="217"/>
        <v>0</v>
      </c>
      <c r="Z492" s="57">
        <f t="shared" si="217"/>
        <v>0</v>
      </c>
      <c r="AA492" s="57">
        <f t="shared" si="217"/>
        <v>0</v>
      </c>
    </row>
    <row r="493" spans="2:27" s="4" customFormat="1" ht="17">
      <c r="B493" s="75" t="s">
        <v>246</v>
      </c>
      <c r="C493" s="24"/>
      <c r="D493" s="65">
        <f t="shared" si="171"/>
        <v>10414.025131753455</v>
      </c>
      <c r="G493" s="68">
        <f>+SUM(G494:G498)</f>
        <v>1965.6973211808261</v>
      </c>
      <c r="H493" s="68">
        <f t="shared" ref="H493:AA493" si="218">+SUM(H494:H498)</f>
        <v>2278.1674243098983</v>
      </c>
      <c r="I493" s="68">
        <f t="shared" si="218"/>
        <v>1492.0013265539512</v>
      </c>
      <c r="J493" s="68">
        <f t="shared" si="218"/>
        <v>2469.3843097087765</v>
      </c>
      <c r="K493" s="68">
        <f t="shared" si="218"/>
        <v>712.92374999999993</v>
      </c>
      <c r="L493" s="68">
        <f t="shared" si="218"/>
        <v>660.75975000000199</v>
      </c>
      <c r="M493" s="68">
        <f t="shared" si="218"/>
        <v>835.09124999999949</v>
      </c>
      <c r="N493" s="68">
        <f t="shared" si="218"/>
        <v>0</v>
      </c>
      <c r="O493" s="68">
        <f t="shared" si="218"/>
        <v>0</v>
      </c>
      <c r="P493" s="68">
        <f t="shared" si="218"/>
        <v>0</v>
      </c>
      <c r="Q493" s="68">
        <f t="shared" si="218"/>
        <v>0</v>
      </c>
      <c r="R493" s="68">
        <f t="shared" si="218"/>
        <v>0</v>
      </c>
      <c r="S493" s="68">
        <f t="shared" si="218"/>
        <v>0</v>
      </c>
      <c r="T493" s="68">
        <f t="shared" si="218"/>
        <v>0</v>
      </c>
      <c r="U493" s="68">
        <f t="shared" si="218"/>
        <v>0</v>
      </c>
      <c r="V493" s="68">
        <f t="shared" si="218"/>
        <v>0</v>
      </c>
      <c r="W493" s="68">
        <f t="shared" si="218"/>
        <v>0</v>
      </c>
      <c r="X493" s="68">
        <f t="shared" si="218"/>
        <v>0</v>
      </c>
      <c r="Y493" s="68">
        <f t="shared" si="218"/>
        <v>0</v>
      </c>
      <c r="Z493" s="68">
        <f t="shared" si="218"/>
        <v>0</v>
      </c>
      <c r="AA493" s="68">
        <f t="shared" si="218"/>
        <v>0</v>
      </c>
    </row>
    <row r="494" spans="2:27" s="4" customFormat="1" ht="17" outlineLevel="1">
      <c r="B494" s="25" t="s">
        <v>43</v>
      </c>
      <c r="C494" s="24"/>
      <c r="D494" s="65">
        <f t="shared" si="171"/>
        <v>2443.9252832727266</v>
      </c>
      <c r="E494" s="57">
        <f>+D494-D500</f>
        <v>0</v>
      </c>
      <c r="G494" s="57">
        <f>+G24-G28+G56-G60-(F24-F28+F56-F60)</f>
        <v>1052.5040207100001</v>
      </c>
      <c r="H494" s="57">
        <f t="shared" ref="H494:AA494" si="219">+H24-H28+H56-H60-(G24-G28+G56-G60)</f>
        <v>891.77227928999969</v>
      </c>
      <c r="I494" s="57">
        <f t="shared" si="219"/>
        <v>290.15279999999916</v>
      </c>
      <c r="J494" s="57">
        <f t="shared" si="219"/>
        <v>209.49618327272765</v>
      </c>
      <c r="K494" s="57">
        <f t="shared" si="219"/>
        <v>0</v>
      </c>
      <c r="L494" s="57">
        <f t="shared" si="219"/>
        <v>0</v>
      </c>
      <c r="M494" s="57">
        <f t="shared" si="219"/>
        <v>0</v>
      </c>
      <c r="N494" s="57">
        <f t="shared" si="219"/>
        <v>0</v>
      </c>
      <c r="O494" s="57">
        <f t="shared" si="219"/>
        <v>0</v>
      </c>
      <c r="P494" s="57">
        <f t="shared" si="219"/>
        <v>0</v>
      </c>
      <c r="Q494" s="57">
        <f t="shared" si="219"/>
        <v>0</v>
      </c>
      <c r="R494" s="57">
        <f t="shared" si="219"/>
        <v>0</v>
      </c>
      <c r="S494" s="57">
        <f t="shared" si="219"/>
        <v>0</v>
      </c>
      <c r="T494" s="57">
        <f t="shared" si="219"/>
        <v>0</v>
      </c>
      <c r="U494" s="57">
        <f t="shared" si="219"/>
        <v>0</v>
      </c>
      <c r="V494" s="57">
        <f t="shared" si="219"/>
        <v>0</v>
      </c>
      <c r="W494" s="57">
        <f t="shared" si="219"/>
        <v>0</v>
      </c>
      <c r="X494" s="57">
        <f t="shared" si="219"/>
        <v>0</v>
      </c>
      <c r="Y494" s="57">
        <f t="shared" si="219"/>
        <v>0</v>
      </c>
      <c r="Z494" s="57">
        <f t="shared" si="219"/>
        <v>0</v>
      </c>
      <c r="AA494" s="57">
        <f t="shared" si="219"/>
        <v>0</v>
      </c>
    </row>
    <row r="495" spans="2:27" s="4" customFormat="1" ht="17" outlineLevel="1">
      <c r="B495" s="25" t="s">
        <v>44</v>
      </c>
      <c r="C495" s="24"/>
      <c r="D495" s="65">
        <f t="shared" si="171"/>
        <v>4070.889848480725</v>
      </c>
      <c r="E495" s="57">
        <f>+D495-D501</f>
        <v>0</v>
      </c>
      <c r="G495" s="57">
        <f>+G88-G92+G120-G124-(F88-F92+F120-F124)</f>
        <v>913.19330047082599</v>
      </c>
      <c r="H495" s="57">
        <f t="shared" ref="H495:AA495" si="220">+H88-H92+H120-H124-(G88-G92+G120-G124)</f>
        <v>1116.1251450198984</v>
      </c>
      <c r="I495" s="57">
        <f t="shared" si="220"/>
        <v>510.39285074750001</v>
      </c>
      <c r="J495" s="57">
        <f t="shared" si="220"/>
        <v>1531.1785522425007</v>
      </c>
      <c r="K495" s="57">
        <f t="shared" si="220"/>
        <v>0</v>
      </c>
      <c r="L495" s="57">
        <f t="shared" si="220"/>
        <v>0</v>
      </c>
      <c r="M495" s="57">
        <f t="shared" si="220"/>
        <v>0</v>
      </c>
      <c r="N495" s="57">
        <f t="shared" si="220"/>
        <v>0</v>
      </c>
      <c r="O495" s="57">
        <f t="shared" si="220"/>
        <v>0</v>
      </c>
      <c r="P495" s="57">
        <f t="shared" si="220"/>
        <v>0</v>
      </c>
      <c r="Q495" s="57">
        <f t="shared" si="220"/>
        <v>0</v>
      </c>
      <c r="R495" s="57">
        <f t="shared" si="220"/>
        <v>0</v>
      </c>
      <c r="S495" s="57">
        <f t="shared" si="220"/>
        <v>0</v>
      </c>
      <c r="T495" s="57">
        <f t="shared" si="220"/>
        <v>0</v>
      </c>
      <c r="U495" s="57">
        <f t="shared" si="220"/>
        <v>0</v>
      </c>
      <c r="V495" s="57">
        <f t="shared" si="220"/>
        <v>0</v>
      </c>
      <c r="W495" s="57">
        <f t="shared" si="220"/>
        <v>0</v>
      </c>
      <c r="X495" s="57">
        <f t="shared" si="220"/>
        <v>0</v>
      </c>
      <c r="Y495" s="57">
        <f t="shared" si="220"/>
        <v>0</v>
      </c>
      <c r="Z495" s="57">
        <f t="shared" si="220"/>
        <v>0</v>
      </c>
      <c r="AA495" s="57">
        <f t="shared" si="220"/>
        <v>0</v>
      </c>
    </row>
    <row r="496" spans="2:27" s="4" customFormat="1" ht="17" outlineLevel="1">
      <c r="B496" s="25" t="s">
        <v>47</v>
      </c>
      <c r="C496" s="24"/>
      <c r="D496" s="65">
        <f t="shared" si="171"/>
        <v>0</v>
      </c>
      <c r="G496" s="57">
        <f>+G184-G188-F184+F188</f>
        <v>0</v>
      </c>
      <c r="H496" s="57">
        <f t="shared" ref="H496:AA496" si="221">+H184-H188-G184+G188</f>
        <v>0</v>
      </c>
      <c r="I496" s="57">
        <f t="shared" si="221"/>
        <v>0</v>
      </c>
      <c r="J496" s="57">
        <f t="shared" si="221"/>
        <v>0</v>
      </c>
      <c r="K496" s="57">
        <f t="shared" si="221"/>
        <v>0</v>
      </c>
      <c r="L496" s="57">
        <f t="shared" si="221"/>
        <v>0</v>
      </c>
      <c r="M496" s="57">
        <f t="shared" si="221"/>
        <v>0</v>
      </c>
      <c r="N496" s="57">
        <f t="shared" si="221"/>
        <v>0</v>
      </c>
      <c r="O496" s="57">
        <f t="shared" si="221"/>
        <v>0</v>
      </c>
      <c r="P496" s="57">
        <f t="shared" si="221"/>
        <v>0</v>
      </c>
      <c r="Q496" s="57">
        <f t="shared" si="221"/>
        <v>0</v>
      </c>
      <c r="R496" s="57">
        <f t="shared" si="221"/>
        <v>0</v>
      </c>
      <c r="S496" s="57">
        <f t="shared" si="221"/>
        <v>0</v>
      </c>
      <c r="T496" s="57">
        <f t="shared" si="221"/>
        <v>0</v>
      </c>
      <c r="U496" s="57">
        <f t="shared" si="221"/>
        <v>0</v>
      </c>
      <c r="V496" s="57">
        <f t="shared" si="221"/>
        <v>0</v>
      </c>
      <c r="W496" s="57">
        <f t="shared" si="221"/>
        <v>0</v>
      </c>
      <c r="X496" s="57">
        <f t="shared" si="221"/>
        <v>0</v>
      </c>
      <c r="Y496" s="57">
        <f t="shared" si="221"/>
        <v>0</v>
      </c>
      <c r="Z496" s="57">
        <f t="shared" si="221"/>
        <v>0</v>
      </c>
      <c r="AA496" s="57">
        <f t="shared" si="221"/>
        <v>0</v>
      </c>
    </row>
    <row r="497" spans="2:27" s="4" customFormat="1" ht="17" outlineLevel="1">
      <c r="B497" s="25" t="s">
        <v>49</v>
      </c>
      <c r="C497" s="24"/>
      <c r="D497" s="65">
        <f t="shared" si="171"/>
        <v>0</v>
      </c>
      <c r="G497" s="57">
        <f>+G216-G220+G248-G252-(F216-F220+F248-F252)</f>
        <v>0</v>
      </c>
      <c r="H497" s="57">
        <f t="shared" ref="H497:AA497" si="222">+H216-H220+H248-H252-(G216-G220+G248-G252)</f>
        <v>0</v>
      </c>
      <c r="I497" s="57">
        <f t="shared" si="222"/>
        <v>0</v>
      </c>
      <c r="J497" s="57">
        <f t="shared" si="222"/>
        <v>0</v>
      </c>
      <c r="K497" s="57">
        <f t="shared" si="222"/>
        <v>0</v>
      </c>
      <c r="L497" s="57">
        <f t="shared" si="222"/>
        <v>0</v>
      </c>
      <c r="M497" s="57">
        <f t="shared" si="222"/>
        <v>0</v>
      </c>
      <c r="N497" s="57">
        <f t="shared" si="222"/>
        <v>0</v>
      </c>
      <c r="O497" s="57">
        <f t="shared" si="222"/>
        <v>0</v>
      </c>
      <c r="P497" s="57">
        <f t="shared" si="222"/>
        <v>0</v>
      </c>
      <c r="Q497" s="57">
        <f t="shared" si="222"/>
        <v>0</v>
      </c>
      <c r="R497" s="57">
        <f t="shared" si="222"/>
        <v>0</v>
      </c>
      <c r="S497" s="57">
        <f t="shared" si="222"/>
        <v>0</v>
      </c>
      <c r="T497" s="57">
        <f t="shared" si="222"/>
        <v>0</v>
      </c>
      <c r="U497" s="57">
        <f t="shared" si="222"/>
        <v>0</v>
      </c>
      <c r="V497" s="57">
        <f t="shared" si="222"/>
        <v>0</v>
      </c>
      <c r="W497" s="57">
        <f t="shared" si="222"/>
        <v>0</v>
      </c>
      <c r="X497" s="57">
        <f t="shared" si="222"/>
        <v>0</v>
      </c>
      <c r="Y497" s="57">
        <f t="shared" si="222"/>
        <v>0</v>
      </c>
      <c r="Z497" s="57">
        <f t="shared" si="222"/>
        <v>0</v>
      </c>
      <c r="AA497" s="57">
        <f t="shared" si="222"/>
        <v>0</v>
      </c>
    </row>
    <row r="498" spans="2:27" s="4" customFormat="1" ht="17" outlineLevel="1">
      <c r="B498" s="25" t="s">
        <v>48</v>
      </c>
      <c r="C498" s="24"/>
      <c r="D498" s="65">
        <f t="shared" si="171"/>
        <v>3899.2100000000019</v>
      </c>
      <c r="E498" s="57">
        <f>+D498-D504</f>
        <v>0</v>
      </c>
      <c r="G498" s="57">
        <f>+G280-G284+G312-G316+G344-G348+G376-G380-(F280-F284+F312-F316+F344-F348+F376-F380)</f>
        <v>0</v>
      </c>
      <c r="H498" s="57">
        <f t="shared" ref="H498:AA498" si="223">+H280-H284+H312-H316+H344-H348+H376-H380-(G280-G284+G312-G316+G344-G348+G376-G380)</f>
        <v>270.27000000000021</v>
      </c>
      <c r="I498" s="57">
        <f t="shared" si="223"/>
        <v>691.45567580645206</v>
      </c>
      <c r="J498" s="57">
        <f t="shared" si="223"/>
        <v>728.70957419354818</v>
      </c>
      <c r="K498" s="57">
        <f t="shared" si="223"/>
        <v>712.92374999999993</v>
      </c>
      <c r="L498" s="57">
        <f t="shared" si="223"/>
        <v>660.75975000000199</v>
      </c>
      <c r="M498" s="57">
        <f t="shared" si="223"/>
        <v>835.09124999999949</v>
      </c>
      <c r="N498" s="57">
        <f t="shared" si="223"/>
        <v>0</v>
      </c>
      <c r="O498" s="57">
        <f t="shared" si="223"/>
        <v>0</v>
      </c>
      <c r="P498" s="57">
        <f t="shared" si="223"/>
        <v>0</v>
      </c>
      <c r="Q498" s="57">
        <f t="shared" si="223"/>
        <v>0</v>
      </c>
      <c r="R498" s="57">
        <f t="shared" si="223"/>
        <v>0</v>
      </c>
      <c r="S498" s="57">
        <f t="shared" si="223"/>
        <v>0</v>
      </c>
      <c r="T498" s="57">
        <f t="shared" si="223"/>
        <v>0</v>
      </c>
      <c r="U498" s="57">
        <f t="shared" si="223"/>
        <v>0</v>
      </c>
      <c r="V498" s="57">
        <f t="shared" si="223"/>
        <v>0</v>
      </c>
      <c r="W498" s="57">
        <f t="shared" si="223"/>
        <v>0</v>
      </c>
      <c r="X498" s="57">
        <f t="shared" si="223"/>
        <v>0</v>
      </c>
      <c r="Y498" s="57">
        <f t="shared" si="223"/>
        <v>0</v>
      </c>
      <c r="Z498" s="57">
        <f t="shared" si="223"/>
        <v>0</v>
      </c>
      <c r="AA498" s="57">
        <f t="shared" si="223"/>
        <v>0</v>
      </c>
    </row>
    <row r="499" spans="2:27" s="4" customFormat="1" ht="17">
      <c r="B499" s="75" t="s">
        <v>5</v>
      </c>
      <c r="C499" s="24"/>
      <c r="D499" s="65">
        <f t="shared" si="171"/>
        <v>10414.025131753451</v>
      </c>
      <c r="G499" s="68">
        <f t="shared" ref="G499:AA499" si="224">+SUM(G500:G504)</f>
        <v>0</v>
      </c>
      <c r="H499" s="68">
        <f t="shared" si="224"/>
        <v>2186.1826639999999</v>
      </c>
      <c r="I499" s="68">
        <f t="shared" si="224"/>
        <v>2153.8793964907245</v>
      </c>
      <c r="J499" s="68">
        <f t="shared" si="224"/>
        <v>3075.6530712627268</v>
      </c>
      <c r="K499" s="68">
        <f t="shared" si="224"/>
        <v>928.86500000000024</v>
      </c>
      <c r="L499" s="68">
        <f t="shared" si="224"/>
        <v>573.5939999999996</v>
      </c>
      <c r="M499" s="68">
        <f t="shared" si="224"/>
        <v>1495.851000000001</v>
      </c>
      <c r="N499" s="68">
        <f t="shared" si="224"/>
        <v>0</v>
      </c>
      <c r="O499" s="68">
        <f t="shared" si="224"/>
        <v>0</v>
      </c>
      <c r="P499" s="68">
        <f t="shared" si="224"/>
        <v>0</v>
      </c>
      <c r="Q499" s="68">
        <f t="shared" si="224"/>
        <v>0</v>
      </c>
      <c r="R499" s="68">
        <f t="shared" si="224"/>
        <v>0</v>
      </c>
      <c r="S499" s="68">
        <f t="shared" si="224"/>
        <v>0</v>
      </c>
      <c r="T499" s="68">
        <f t="shared" si="224"/>
        <v>0</v>
      </c>
      <c r="U499" s="68">
        <f t="shared" si="224"/>
        <v>0</v>
      </c>
      <c r="V499" s="68">
        <f t="shared" si="224"/>
        <v>0</v>
      </c>
      <c r="W499" s="68">
        <f t="shared" si="224"/>
        <v>0</v>
      </c>
      <c r="X499" s="68">
        <f t="shared" si="224"/>
        <v>0</v>
      </c>
      <c r="Y499" s="68">
        <f t="shared" si="224"/>
        <v>0</v>
      </c>
      <c r="Z499" s="68">
        <f t="shared" si="224"/>
        <v>0</v>
      </c>
      <c r="AA499" s="68">
        <f t="shared" si="224"/>
        <v>0</v>
      </c>
    </row>
    <row r="500" spans="2:27" s="4" customFormat="1" ht="17" outlineLevel="1">
      <c r="B500" s="25" t="s">
        <v>43</v>
      </c>
      <c r="C500" s="24"/>
      <c r="D500" s="65">
        <f t="shared" si="171"/>
        <v>2443.9252832727261</v>
      </c>
      <c r="G500" s="57">
        <f>+G33+G65</f>
        <v>0</v>
      </c>
      <c r="H500" s="57">
        <f>+H33+H65</f>
        <v>928.18266400000005</v>
      </c>
      <c r="I500" s="57">
        <f t="shared" ref="I500:AA500" si="225">+I33+I65</f>
        <v>1382.5609509999999</v>
      </c>
      <c r="J500" s="57">
        <f t="shared" si="225"/>
        <v>133.18166827272603</v>
      </c>
      <c r="K500" s="57">
        <f t="shared" si="225"/>
        <v>0</v>
      </c>
      <c r="L500" s="57">
        <f t="shared" si="225"/>
        <v>0</v>
      </c>
      <c r="M500" s="57">
        <f t="shared" si="225"/>
        <v>0</v>
      </c>
      <c r="N500" s="57">
        <f t="shared" si="225"/>
        <v>0</v>
      </c>
      <c r="O500" s="57">
        <f t="shared" si="225"/>
        <v>0</v>
      </c>
      <c r="P500" s="57">
        <f t="shared" si="225"/>
        <v>0</v>
      </c>
      <c r="Q500" s="57">
        <f t="shared" si="225"/>
        <v>0</v>
      </c>
      <c r="R500" s="57">
        <f t="shared" si="225"/>
        <v>0</v>
      </c>
      <c r="S500" s="57">
        <f t="shared" si="225"/>
        <v>0</v>
      </c>
      <c r="T500" s="57">
        <f t="shared" si="225"/>
        <v>0</v>
      </c>
      <c r="U500" s="57">
        <f t="shared" si="225"/>
        <v>0</v>
      </c>
      <c r="V500" s="57">
        <f t="shared" si="225"/>
        <v>0</v>
      </c>
      <c r="W500" s="57">
        <f t="shared" si="225"/>
        <v>0</v>
      </c>
      <c r="X500" s="57">
        <f t="shared" si="225"/>
        <v>0</v>
      </c>
      <c r="Y500" s="57">
        <f t="shared" si="225"/>
        <v>0</v>
      </c>
      <c r="Z500" s="57">
        <f t="shared" si="225"/>
        <v>0</v>
      </c>
      <c r="AA500" s="57">
        <f t="shared" si="225"/>
        <v>0</v>
      </c>
    </row>
    <row r="501" spans="2:27" s="4" customFormat="1" ht="17" outlineLevel="1">
      <c r="B501" s="25" t="s">
        <v>44</v>
      </c>
      <c r="C501" s="24"/>
      <c r="D501" s="65">
        <f t="shared" si="171"/>
        <v>4070.8898484807246</v>
      </c>
      <c r="G501" s="57">
        <f>+G97+G129</f>
        <v>0</v>
      </c>
      <c r="H501" s="57">
        <f t="shared" ref="H501:AA501" si="226">+H97+H129</f>
        <v>1258</v>
      </c>
      <c r="I501" s="57">
        <f t="shared" si="226"/>
        <v>771.31844549072434</v>
      </c>
      <c r="J501" s="57">
        <f t="shared" si="226"/>
        <v>2041.5714029900003</v>
      </c>
      <c r="K501" s="57">
        <f t="shared" si="226"/>
        <v>0</v>
      </c>
      <c r="L501" s="57">
        <f t="shared" si="226"/>
        <v>0</v>
      </c>
      <c r="M501" s="57">
        <f t="shared" si="226"/>
        <v>0</v>
      </c>
      <c r="N501" s="57">
        <f t="shared" si="226"/>
        <v>0</v>
      </c>
      <c r="O501" s="57">
        <f t="shared" si="226"/>
        <v>0</v>
      </c>
      <c r="P501" s="57">
        <f t="shared" si="226"/>
        <v>0</v>
      </c>
      <c r="Q501" s="57">
        <f t="shared" si="226"/>
        <v>0</v>
      </c>
      <c r="R501" s="57">
        <f t="shared" si="226"/>
        <v>0</v>
      </c>
      <c r="S501" s="57">
        <f t="shared" si="226"/>
        <v>0</v>
      </c>
      <c r="T501" s="57">
        <f t="shared" si="226"/>
        <v>0</v>
      </c>
      <c r="U501" s="57">
        <f t="shared" si="226"/>
        <v>0</v>
      </c>
      <c r="V501" s="57">
        <f t="shared" si="226"/>
        <v>0</v>
      </c>
      <c r="W501" s="57">
        <f t="shared" si="226"/>
        <v>0</v>
      </c>
      <c r="X501" s="57">
        <f t="shared" si="226"/>
        <v>0</v>
      </c>
      <c r="Y501" s="57">
        <f t="shared" si="226"/>
        <v>0</v>
      </c>
      <c r="Z501" s="57">
        <f t="shared" si="226"/>
        <v>0</v>
      </c>
      <c r="AA501" s="57">
        <f t="shared" si="226"/>
        <v>0</v>
      </c>
    </row>
    <row r="502" spans="2:27" s="4" customFormat="1" ht="17" outlineLevel="1">
      <c r="B502" s="25" t="s">
        <v>47</v>
      </c>
      <c r="C502" s="24"/>
      <c r="D502" s="65">
        <f t="shared" ref="D502:D540" si="227">+SUM(G502:U502)</f>
        <v>0</v>
      </c>
      <c r="G502" s="57">
        <f>+G193</f>
        <v>0</v>
      </c>
      <c r="H502" s="57">
        <f t="shared" ref="H502:AA502" si="228">+H193</f>
        <v>0</v>
      </c>
      <c r="I502" s="57">
        <f t="shared" si="228"/>
        <v>0</v>
      </c>
      <c r="J502" s="57">
        <f t="shared" si="228"/>
        <v>0</v>
      </c>
      <c r="K502" s="57">
        <f t="shared" si="228"/>
        <v>0</v>
      </c>
      <c r="L502" s="57">
        <f t="shared" si="228"/>
        <v>0</v>
      </c>
      <c r="M502" s="57">
        <f t="shared" si="228"/>
        <v>0</v>
      </c>
      <c r="N502" s="57">
        <f t="shared" si="228"/>
        <v>0</v>
      </c>
      <c r="O502" s="57">
        <f t="shared" si="228"/>
        <v>0</v>
      </c>
      <c r="P502" s="57">
        <f t="shared" si="228"/>
        <v>0</v>
      </c>
      <c r="Q502" s="57">
        <f t="shared" si="228"/>
        <v>0</v>
      </c>
      <c r="R502" s="57">
        <f t="shared" si="228"/>
        <v>0</v>
      </c>
      <c r="S502" s="57">
        <f t="shared" si="228"/>
        <v>0</v>
      </c>
      <c r="T502" s="57">
        <f t="shared" si="228"/>
        <v>0</v>
      </c>
      <c r="U502" s="57">
        <f t="shared" si="228"/>
        <v>0</v>
      </c>
      <c r="V502" s="57">
        <f t="shared" si="228"/>
        <v>0</v>
      </c>
      <c r="W502" s="57">
        <f t="shared" si="228"/>
        <v>0</v>
      </c>
      <c r="X502" s="57">
        <f t="shared" si="228"/>
        <v>0</v>
      </c>
      <c r="Y502" s="57">
        <f t="shared" si="228"/>
        <v>0</v>
      </c>
      <c r="Z502" s="57">
        <f t="shared" si="228"/>
        <v>0</v>
      </c>
      <c r="AA502" s="57">
        <f t="shared" si="228"/>
        <v>0</v>
      </c>
    </row>
    <row r="503" spans="2:27" s="4" customFormat="1" ht="17" outlineLevel="1">
      <c r="B503" s="25" t="s">
        <v>49</v>
      </c>
      <c r="C503" s="24"/>
      <c r="D503" s="65">
        <f t="shared" si="227"/>
        <v>0</v>
      </c>
      <c r="G503" s="57">
        <f>+G225+G257</f>
        <v>0</v>
      </c>
      <c r="H503" s="57">
        <f t="shared" ref="H503:AA503" si="229">+H225+H257</f>
        <v>0</v>
      </c>
      <c r="I503" s="57">
        <f t="shared" si="229"/>
        <v>0</v>
      </c>
      <c r="J503" s="57">
        <f t="shared" si="229"/>
        <v>0</v>
      </c>
      <c r="K503" s="57">
        <f t="shared" si="229"/>
        <v>0</v>
      </c>
      <c r="L503" s="57">
        <f t="shared" si="229"/>
        <v>0</v>
      </c>
      <c r="M503" s="57">
        <f t="shared" si="229"/>
        <v>0</v>
      </c>
      <c r="N503" s="57">
        <f t="shared" si="229"/>
        <v>0</v>
      </c>
      <c r="O503" s="57">
        <f t="shared" si="229"/>
        <v>0</v>
      </c>
      <c r="P503" s="57">
        <f t="shared" si="229"/>
        <v>0</v>
      </c>
      <c r="Q503" s="57">
        <f t="shared" si="229"/>
        <v>0</v>
      </c>
      <c r="R503" s="57">
        <f t="shared" si="229"/>
        <v>0</v>
      </c>
      <c r="S503" s="57">
        <f t="shared" si="229"/>
        <v>0</v>
      </c>
      <c r="T503" s="57">
        <f t="shared" si="229"/>
        <v>0</v>
      </c>
      <c r="U503" s="57">
        <f t="shared" si="229"/>
        <v>0</v>
      </c>
      <c r="V503" s="57">
        <f t="shared" si="229"/>
        <v>0</v>
      </c>
      <c r="W503" s="57">
        <f t="shared" si="229"/>
        <v>0</v>
      </c>
      <c r="X503" s="57">
        <f t="shared" si="229"/>
        <v>0</v>
      </c>
      <c r="Y503" s="57">
        <f t="shared" si="229"/>
        <v>0</v>
      </c>
      <c r="Z503" s="57">
        <f t="shared" si="229"/>
        <v>0</v>
      </c>
      <c r="AA503" s="57">
        <f t="shared" si="229"/>
        <v>0</v>
      </c>
    </row>
    <row r="504" spans="2:27" s="4" customFormat="1" ht="17" outlineLevel="1">
      <c r="B504" s="25" t="s">
        <v>48</v>
      </c>
      <c r="C504" s="24"/>
      <c r="D504" s="65">
        <f t="shared" si="227"/>
        <v>3899.2100000000014</v>
      </c>
      <c r="G504" s="57">
        <f>+G289+G321+G353+G385</f>
        <v>0</v>
      </c>
      <c r="H504" s="57">
        <f t="shared" ref="H504:AA504" si="230">+H289+H321+H353+H385</f>
        <v>0</v>
      </c>
      <c r="I504" s="57">
        <f t="shared" si="230"/>
        <v>0</v>
      </c>
      <c r="J504" s="57">
        <f t="shared" si="230"/>
        <v>900.90000000000055</v>
      </c>
      <c r="K504" s="57">
        <f t="shared" si="230"/>
        <v>928.86500000000024</v>
      </c>
      <c r="L504" s="57">
        <f t="shared" si="230"/>
        <v>573.5939999999996</v>
      </c>
      <c r="M504" s="57">
        <f t="shared" si="230"/>
        <v>1495.851000000001</v>
      </c>
      <c r="N504" s="57">
        <f t="shared" si="230"/>
        <v>0</v>
      </c>
      <c r="O504" s="57">
        <f t="shared" si="230"/>
        <v>0</v>
      </c>
      <c r="P504" s="57">
        <f t="shared" si="230"/>
        <v>0</v>
      </c>
      <c r="Q504" s="57">
        <f t="shared" si="230"/>
        <v>0</v>
      </c>
      <c r="R504" s="57">
        <f t="shared" si="230"/>
        <v>0</v>
      </c>
      <c r="S504" s="57">
        <f t="shared" si="230"/>
        <v>0</v>
      </c>
      <c r="T504" s="57">
        <f t="shared" si="230"/>
        <v>0</v>
      </c>
      <c r="U504" s="57">
        <f t="shared" si="230"/>
        <v>0</v>
      </c>
      <c r="V504" s="57">
        <f t="shared" si="230"/>
        <v>0</v>
      </c>
      <c r="W504" s="57">
        <f t="shared" si="230"/>
        <v>0</v>
      </c>
      <c r="X504" s="57">
        <f t="shared" si="230"/>
        <v>0</v>
      </c>
      <c r="Y504" s="57">
        <f t="shared" si="230"/>
        <v>0</v>
      </c>
      <c r="Z504" s="57">
        <f t="shared" si="230"/>
        <v>0</v>
      </c>
      <c r="AA504" s="57">
        <f t="shared" si="230"/>
        <v>0</v>
      </c>
    </row>
    <row r="505" spans="2:27" s="4" customFormat="1">
      <c r="B505" s="25"/>
      <c r="C505" s="24"/>
      <c r="D505" s="65">
        <f t="shared" si="227"/>
        <v>0</v>
      </c>
    </row>
    <row r="506" spans="2:27" s="4" customFormat="1">
      <c r="B506" s="25"/>
      <c r="C506" s="24"/>
      <c r="D506" s="65">
        <f t="shared" si="227"/>
        <v>0</v>
      </c>
    </row>
    <row r="507" spans="2:27" s="4" customFormat="1" ht="17">
      <c r="B507" s="76" t="s">
        <v>153</v>
      </c>
      <c r="C507" s="24"/>
      <c r="D507" s="65">
        <f t="shared" si="227"/>
        <v>0</v>
      </c>
    </row>
    <row r="508" spans="2:27" s="4" customFormat="1" ht="17">
      <c r="B508" s="75" t="s">
        <v>2</v>
      </c>
      <c r="C508" s="153">
        <f>+D508/$D$427</f>
        <v>5.5757609526117212E-2</v>
      </c>
      <c r="D508" s="65">
        <f t="shared" si="227"/>
        <v>10863.02267721</v>
      </c>
      <c r="G508" s="68">
        <f t="shared" ref="G508:AA508" si="231">+SUM(G509:G513)</f>
        <v>2427.513114233052</v>
      </c>
      <c r="H508" s="68">
        <f t="shared" si="231"/>
        <v>2214.5725542069481</v>
      </c>
      <c r="I508" s="68">
        <f t="shared" si="231"/>
        <v>2440.5548670742428</v>
      </c>
      <c r="J508" s="68">
        <f t="shared" si="231"/>
        <v>2290.8751416957571</v>
      </c>
      <c r="K508" s="68">
        <f t="shared" si="231"/>
        <v>448.35599999999999</v>
      </c>
      <c r="L508" s="68">
        <f t="shared" si="231"/>
        <v>444.65724999999998</v>
      </c>
      <c r="M508" s="68">
        <f t="shared" si="231"/>
        <v>596.49374999999986</v>
      </c>
      <c r="N508" s="68">
        <f t="shared" si="231"/>
        <v>0</v>
      </c>
      <c r="O508" s="68">
        <f t="shared" si="231"/>
        <v>0</v>
      </c>
      <c r="P508" s="68">
        <f t="shared" si="231"/>
        <v>0</v>
      </c>
      <c r="Q508" s="68">
        <f t="shared" si="231"/>
        <v>0</v>
      </c>
      <c r="R508" s="68">
        <f t="shared" si="231"/>
        <v>0</v>
      </c>
      <c r="S508" s="68">
        <f t="shared" si="231"/>
        <v>0</v>
      </c>
      <c r="T508" s="68">
        <f t="shared" si="231"/>
        <v>0</v>
      </c>
      <c r="U508" s="68">
        <f t="shared" si="231"/>
        <v>0</v>
      </c>
      <c r="V508" s="68">
        <f t="shared" si="231"/>
        <v>0</v>
      </c>
      <c r="W508" s="68">
        <f t="shared" si="231"/>
        <v>0</v>
      </c>
      <c r="X508" s="68">
        <f t="shared" si="231"/>
        <v>0</v>
      </c>
      <c r="Y508" s="68">
        <f t="shared" si="231"/>
        <v>0</v>
      </c>
      <c r="Z508" s="68">
        <f t="shared" si="231"/>
        <v>0</v>
      </c>
      <c r="AA508" s="68">
        <f t="shared" si="231"/>
        <v>0</v>
      </c>
    </row>
    <row r="509" spans="2:27" s="4" customFormat="1" ht="17" outlineLevel="1">
      <c r="B509" s="25" t="s">
        <v>43</v>
      </c>
      <c r="C509" s="24"/>
      <c r="D509" s="65">
        <f t="shared" si="227"/>
        <v>3406.0164385199996</v>
      </c>
      <c r="G509" s="57">
        <f>+G25+G57-F25-F57</f>
        <v>1495.8187142330519</v>
      </c>
      <c r="H509" s="57">
        <f t="shared" ref="H509:AA509" si="232">+H25+H57-G25-G57</f>
        <v>1394.131954206948</v>
      </c>
      <c r="I509" s="57">
        <f t="shared" si="232"/>
        <v>516.06577007999965</v>
      </c>
      <c r="J509" s="57">
        <f t="shared" si="232"/>
        <v>0</v>
      </c>
      <c r="K509" s="57">
        <f t="shared" si="232"/>
        <v>0</v>
      </c>
      <c r="L509" s="57">
        <f t="shared" si="232"/>
        <v>0</v>
      </c>
      <c r="M509" s="57">
        <f t="shared" si="232"/>
        <v>0</v>
      </c>
      <c r="N509" s="57">
        <f t="shared" si="232"/>
        <v>0</v>
      </c>
      <c r="O509" s="57">
        <f t="shared" si="232"/>
        <v>0</v>
      </c>
      <c r="P509" s="57">
        <f t="shared" si="232"/>
        <v>0</v>
      </c>
      <c r="Q509" s="57">
        <f t="shared" si="232"/>
        <v>0</v>
      </c>
      <c r="R509" s="57">
        <f t="shared" si="232"/>
        <v>0</v>
      </c>
      <c r="S509" s="57">
        <f t="shared" si="232"/>
        <v>0</v>
      </c>
      <c r="T509" s="57">
        <f t="shared" si="232"/>
        <v>0</v>
      </c>
      <c r="U509" s="57">
        <f t="shared" si="232"/>
        <v>0</v>
      </c>
      <c r="V509" s="57">
        <f t="shared" si="232"/>
        <v>0</v>
      </c>
      <c r="W509" s="57">
        <f t="shared" si="232"/>
        <v>0</v>
      </c>
      <c r="X509" s="57">
        <f t="shared" si="232"/>
        <v>0</v>
      </c>
      <c r="Y509" s="57">
        <f t="shared" si="232"/>
        <v>0</v>
      </c>
      <c r="Z509" s="57">
        <f t="shared" si="232"/>
        <v>0</v>
      </c>
      <c r="AA509" s="57">
        <f t="shared" si="232"/>
        <v>0</v>
      </c>
    </row>
    <row r="510" spans="2:27" s="4" customFormat="1" ht="17" outlineLevel="1">
      <c r="B510" s="25" t="s">
        <v>44</v>
      </c>
      <c r="C510" s="24"/>
      <c r="D510" s="65">
        <f t="shared" si="227"/>
        <v>0</v>
      </c>
      <c r="G510" s="57">
        <f>+G89+G121-F89-F121</f>
        <v>0</v>
      </c>
      <c r="H510" s="57">
        <f t="shared" ref="H510:AA510" si="233">+H89+H121-G89-G121</f>
        <v>0</v>
      </c>
      <c r="I510" s="57">
        <f t="shared" si="233"/>
        <v>0</v>
      </c>
      <c r="J510" s="57">
        <f t="shared" si="233"/>
        <v>0</v>
      </c>
      <c r="K510" s="57">
        <f t="shared" si="233"/>
        <v>0</v>
      </c>
      <c r="L510" s="57">
        <f t="shared" si="233"/>
        <v>0</v>
      </c>
      <c r="M510" s="57">
        <f t="shared" si="233"/>
        <v>0</v>
      </c>
      <c r="N510" s="57">
        <f t="shared" si="233"/>
        <v>0</v>
      </c>
      <c r="O510" s="57">
        <f t="shared" si="233"/>
        <v>0</v>
      </c>
      <c r="P510" s="57">
        <f t="shared" si="233"/>
        <v>0</v>
      </c>
      <c r="Q510" s="57">
        <f t="shared" si="233"/>
        <v>0</v>
      </c>
      <c r="R510" s="57">
        <f t="shared" si="233"/>
        <v>0</v>
      </c>
      <c r="S510" s="57">
        <f t="shared" si="233"/>
        <v>0</v>
      </c>
      <c r="T510" s="57">
        <f t="shared" si="233"/>
        <v>0</v>
      </c>
      <c r="U510" s="57">
        <f t="shared" si="233"/>
        <v>0</v>
      </c>
      <c r="V510" s="57">
        <f t="shared" si="233"/>
        <v>0</v>
      </c>
      <c r="W510" s="57">
        <f t="shared" si="233"/>
        <v>0</v>
      </c>
      <c r="X510" s="57">
        <f t="shared" si="233"/>
        <v>0</v>
      </c>
      <c r="Y510" s="57">
        <f t="shared" si="233"/>
        <v>0</v>
      </c>
      <c r="Z510" s="57">
        <f t="shared" si="233"/>
        <v>0</v>
      </c>
      <c r="AA510" s="57">
        <f t="shared" si="233"/>
        <v>0</v>
      </c>
    </row>
    <row r="511" spans="2:27" s="4" customFormat="1" ht="17" outlineLevel="1">
      <c r="B511" s="25" t="s">
        <v>47</v>
      </c>
      <c r="C511" s="24"/>
      <c r="D511" s="65">
        <f t="shared" si="227"/>
        <v>1617</v>
      </c>
      <c r="G511" s="57">
        <f>+G185-F185</f>
        <v>931.69439999999997</v>
      </c>
      <c r="H511" s="57">
        <f t="shared" ref="H511:AA511" si="234">+H185-G185</f>
        <v>685.30560000000003</v>
      </c>
      <c r="I511" s="57">
        <f t="shared" si="234"/>
        <v>0</v>
      </c>
      <c r="J511" s="57">
        <f t="shared" si="234"/>
        <v>0</v>
      </c>
      <c r="K511" s="57">
        <f t="shared" si="234"/>
        <v>0</v>
      </c>
      <c r="L511" s="57">
        <f t="shared" si="234"/>
        <v>0</v>
      </c>
      <c r="M511" s="57">
        <f t="shared" si="234"/>
        <v>0</v>
      </c>
      <c r="N511" s="57">
        <f t="shared" si="234"/>
        <v>0</v>
      </c>
      <c r="O511" s="57">
        <f t="shared" si="234"/>
        <v>0</v>
      </c>
      <c r="P511" s="57">
        <f t="shared" si="234"/>
        <v>0</v>
      </c>
      <c r="Q511" s="57">
        <f t="shared" si="234"/>
        <v>0</v>
      </c>
      <c r="R511" s="57">
        <f t="shared" si="234"/>
        <v>0</v>
      </c>
      <c r="S511" s="57">
        <f t="shared" si="234"/>
        <v>0</v>
      </c>
      <c r="T511" s="57">
        <f t="shared" si="234"/>
        <v>0</v>
      </c>
      <c r="U511" s="57">
        <f t="shared" si="234"/>
        <v>0</v>
      </c>
      <c r="V511" s="57">
        <f t="shared" si="234"/>
        <v>0</v>
      </c>
      <c r="W511" s="57">
        <f t="shared" si="234"/>
        <v>0</v>
      </c>
      <c r="X511" s="57">
        <f t="shared" si="234"/>
        <v>0</v>
      </c>
      <c r="Y511" s="57">
        <f t="shared" si="234"/>
        <v>0</v>
      </c>
      <c r="Z511" s="57">
        <f t="shared" si="234"/>
        <v>0</v>
      </c>
      <c r="AA511" s="57">
        <f t="shared" si="234"/>
        <v>0</v>
      </c>
    </row>
    <row r="512" spans="2:27" s="4" customFormat="1" ht="17" outlineLevel="1">
      <c r="B512" s="25" t="s">
        <v>49</v>
      </c>
      <c r="C512" s="24"/>
      <c r="D512" s="65">
        <f t="shared" si="227"/>
        <v>3448.88623869</v>
      </c>
      <c r="G512" s="57"/>
      <c r="H512" s="57"/>
      <c r="I512" s="57">
        <f t="shared" ref="I512:AA512" si="235">+I217+I249-H217-H249</f>
        <v>1574.416567961985</v>
      </c>
      <c r="J512" s="57">
        <f t="shared" si="235"/>
        <v>1874.469670728015</v>
      </c>
      <c r="K512" s="57">
        <f t="shared" si="235"/>
        <v>0</v>
      </c>
      <c r="L512" s="57">
        <f t="shared" si="235"/>
        <v>0</v>
      </c>
      <c r="M512" s="57">
        <f t="shared" si="235"/>
        <v>0</v>
      </c>
      <c r="N512" s="57">
        <f t="shared" si="235"/>
        <v>0</v>
      </c>
      <c r="O512" s="57">
        <f t="shared" si="235"/>
        <v>0</v>
      </c>
      <c r="P512" s="57">
        <f t="shared" si="235"/>
        <v>0</v>
      </c>
      <c r="Q512" s="57">
        <f t="shared" si="235"/>
        <v>0</v>
      </c>
      <c r="R512" s="57">
        <f t="shared" si="235"/>
        <v>0</v>
      </c>
      <c r="S512" s="57">
        <f t="shared" si="235"/>
        <v>0</v>
      </c>
      <c r="T512" s="57">
        <f t="shared" si="235"/>
        <v>0</v>
      </c>
      <c r="U512" s="57">
        <f t="shared" si="235"/>
        <v>0</v>
      </c>
      <c r="V512" s="57">
        <f t="shared" si="235"/>
        <v>0</v>
      </c>
      <c r="W512" s="57">
        <f t="shared" si="235"/>
        <v>0</v>
      </c>
      <c r="X512" s="57">
        <f t="shared" si="235"/>
        <v>0</v>
      </c>
      <c r="Y512" s="57">
        <f t="shared" si="235"/>
        <v>0</v>
      </c>
      <c r="Z512" s="57">
        <f t="shared" si="235"/>
        <v>0</v>
      </c>
      <c r="AA512" s="57">
        <f t="shared" si="235"/>
        <v>0</v>
      </c>
    </row>
    <row r="513" spans="2:27" s="4" customFormat="1" ht="17" outlineLevel="1">
      <c r="B513" s="25" t="s">
        <v>48</v>
      </c>
      <c r="C513" s="24"/>
      <c r="D513" s="65">
        <f t="shared" si="227"/>
        <v>2391.12</v>
      </c>
      <c r="G513" s="57">
        <f>+G281+G313+G345+G377-(+F281+F313+F345+F377)</f>
        <v>0</v>
      </c>
      <c r="H513" s="57">
        <f t="shared" ref="H513:AA513" si="236">+H281+H313+H345+H377-(+G281+G313+G345+G377)</f>
        <v>135.13500000000002</v>
      </c>
      <c r="I513" s="57">
        <f t="shared" si="236"/>
        <v>350.0725290322581</v>
      </c>
      <c r="J513" s="57">
        <f t="shared" si="236"/>
        <v>416.40547096774196</v>
      </c>
      <c r="K513" s="57">
        <f t="shared" si="236"/>
        <v>448.35599999999999</v>
      </c>
      <c r="L513" s="57">
        <f t="shared" si="236"/>
        <v>444.65724999999998</v>
      </c>
      <c r="M513" s="57">
        <f t="shared" si="236"/>
        <v>596.49374999999986</v>
      </c>
      <c r="N513" s="57">
        <f t="shared" si="236"/>
        <v>0</v>
      </c>
      <c r="O513" s="57">
        <f t="shared" si="236"/>
        <v>0</v>
      </c>
      <c r="P513" s="57">
        <f t="shared" si="236"/>
        <v>0</v>
      </c>
      <c r="Q513" s="57">
        <f t="shared" si="236"/>
        <v>0</v>
      </c>
      <c r="R513" s="57">
        <f t="shared" si="236"/>
        <v>0</v>
      </c>
      <c r="S513" s="57">
        <f t="shared" si="236"/>
        <v>0</v>
      </c>
      <c r="T513" s="57">
        <f t="shared" si="236"/>
        <v>0</v>
      </c>
      <c r="U513" s="57">
        <f t="shared" si="236"/>
        <v>0</v>
      </c>
      <c r="V513" s="57">
        <f t="shared" si="236"/>
        <v>0</v>
      </c>
      <c r="W513" s="57">
        <f t="shared" si="236"/>
        <v>0</v>
      </c>
      <c r="X513" s="57">
        <f t="shared" si="236"/>
        <v>0</v>
      </c>
      <c r="Y513" s="57">
        <f t="shared" si="236"/>
        <v>0</v>
      </c>
      <c r="Z513" s="57">
        <f t="shared" si="236"/>
        <v>0</v>
      </c>
      <c r="AA513" s="57">
        <f t="shared" si="236"/>
        <v>0</v>
      </c>
    </row>
    <row r="514" spans="2:27" s="4" customFormat="1" ht="17">
      <c r="B514" s="75" t="s">
        <v>5</v>
      </c>
      <c r="C514" s="24"/>
      <c r="D514" s="65">
        <f t="shared" si="227"/>
        <v>10863.022677210001</v>
      </c>
      <c r="G514" s="68">
        <f t="shared" ref="G514:AA514" si="237">+SUM(G515:G519)</f>
        <v>0</v>
      </c>
      <c r="H514" s="68">
        <f t="shared" si="237"/>
        <v>591.88941599999998</v>
      </c>
      <c r="I514" s="68">
        <f t="shared" si="237"/>
        <v>2092.5049829999998</v>
      </c>
      <c r="J514" s="68">
        <f t="shared" si="237"/>
        <v>4063.0651588649998</v>
      </c>
      <c r="K514" s="68">
        <f t="shared" si="237"/>
        <v>1724.443119345</v>
      </c>
      <c r="L514" s="68">
        <f t="shared" si="237"/>
        <v>530.78</v>
      </c>
      <c r="M514" s="68">
        <f t="shared" si="237"/>
        <v>1065.0149999999999</v>
      </c>
      <c r="N514" s="68">
        <f t="shared" si="237"/>
        <v>795.32499999999993</v>
      </c>
      <c r="O514" s="68">
        <f t="shared" si="237"/>
        <v>0</v>
      </c>
      <c r="P514" s="68">
        <f t="shared" si="237"/>
        <v>0</v>
      </c>
      <c r="Q514" s="68">
        <f t="shared" si="237"/>
        <v>0</v>
      </c>
      <c r="R514" s="68">
        <f t="shared" si="237"/>
        <v>0</v>
      </c>
      <c r="S514" s="68">
        <f t="shared" si="237"/>
        <v>0</v>
      </c>
      <c r="T514" s="68">
        <f t="shared" si="237"/>
        <v>0</v>
      </c>
      <c r="U514" s="68">
        <f t="shared" si="237"/>
        <v>0</v>
      </c>
      <c r="V514" s="68">
        <f t="shared" si="237"/>
        <v>0</v>
      </c>
      <c r="W514" s="68">
        <f t="shared" si="237"/>
        <v>0</v>
      </c>
      <c r="X514" s="68">
        <f t="shared" si="237"/>
        <v>0</v>
      </c>
      <c r="Y514" s="68">
        <f t="shared" si="237"/>
        <v>0</v>
      </c>
      <c r="Z514" s="68">
        <f t="shared" si="237"/>
        <v>0</v>
      </c>
      <c r="AA514" s="68">
        <f t="shared" si="237"/>
        <v>0</v>
      </c>
    </row>
    <row r="515" spans="2:27" s="4" customFormat="1" ht="17" outlineLevel="1">
      <c r="B515" s="25" t="s">
        <v>43</v>
      </c>
      <c r="C515" s="24"/>
      <c r="D515" s="65">
        <f t="shared" si="227"/>
        <v>3406.0164385199996</v>
      </c>
      <c r="G515" s="57">
        <f>+G37+G69</f>
        <v>0</v>
      </c>
      <c r="H515" s="57">
        <f t="shared" ref="H515:AA515" si="238">+H37+H69</f>
        <v>591.88941599999998</v>
      </c>
      <c r="I515" s="57">
        <f t="shared" si="238"/>
        <v>475.50498299999998</v>
      </c>
      <c r="J515" s="57">
        <f t="shared" si="238"/>
        <v>2338.6220395199998</v>
      </c>
      <c r="K515" s="57">
        <f t="shared" si="238"/>
        <v>0</v>
      </c>
      <c r="L515" s="57">
        <f t="shared" si="238"/>
        <v>0</v>
      </c>
      <c r="M515" s="57">
        <f t="shared" si="238"/>
        <v>0</v>
      </c>
      <c r="N515" s="57">
        <f t="shared" si="238"/>
        <v>0</v>
      </c>
      <c r="O515" s="57">
        <f t="shared" si="238"/>
        <v>0</v>
      </c>
      <c r="P515" s="57">
        <f t="shared" si="238"/>
        <v>0</v>
      </c>
      <c r="Q515" s="57">
        <f t="shared" si="238"/>
        <v>0</v>
      </c>
      <c r="R515" s="57">
        <f t="shared" si="238"/>
        <v>0</v>
      </c>
      <c r="S515" s="57">
        <f t="shared" si="238"/>
        <v>0</v>
      </c>
      <c r="T515" s="57">
        <f t="shared" si="238"/>
        <v>0</v>
      </c>
      <c r="U515" s="57">
        <f t="shared" si="238"/>
        <v>0</v>
      </c>
      <c r="V515" s="57">
        <f t="shared" si="238"/>
        <v>0</v>
      </c>
      <c r="W515" s="57">
        <f t="shared" si="238"/>
        <v>0</v>
      </c>
      <c r="X515" s="57">
        <f t="shared" si="238"/>
        <v>0</v>
      </c>
      <c r="Y515" s="57">
        <f t="shared" si="238"/>
        <v>0</v>
      </c>
      <c r="Z515" s="57">
        <f t="shared" si="238"/>
        <v>0</v>
      </c>
      <c r="AA515" s="57">
        <f t="shared" si="238"/>
        <v>0</v>
      </c>
    </row>
    <row r="516" spans="2:27" s="4" customFormat="1" ht="17" outlineLevel="1">
      <c r="B516" s="25" t="s">
        <v>44</v>
      </c>
      <c r="C516" s="24"/>
      <c r="D516" s="65">
        <f t="shared" si="227"/>
        <v>0</v>
      </c>
      <c r="G516" s="57">
        <f>+G101+G133</f>
        <v>0</v>
      </c>
      <c r="H516" s="57">
        <f t="shared" ref="H516:AA516" si="239">+H101+H133</f>
        <v>0</v>
      </c>
      <c r="I516" s="57">
        <f t="shared" si="239"/>
        <v>0</v>
      </c>
      <c r="J516" s="57">
        <f t="shared" si="239"/>
        <v>0</v>
      </c>
      <c r="K516" s="57">
        <f t="shared" si="239"/>
        <v>0</v>
      </c>
      <c r="L516" s="57">
        <f t="shared" si="239"/>
        <v>0</v>
      </c>
      <c r="M516" s="57">
        <f t="shared" si="239"/>
        <v>0</v>
      </c>
      <c r="N516" s="57">
        <f t="shared" si="239"/>
        <v>0</v>
      </c>
      <c r="O516" s="57">
        <f t="shared" si="239"/>
        <v>0</v>
      </c>
      <c r="P516" s="57">
        <f t="shared" si="239"/>
        <v>0</v>
      </c>
      <c r="Q516" s="57">
        <f t="shared" si="239"/>
        <v>0</v>
      </c>
      <c r="R516" s="57">
        <f t="shared" si="239"/>
        <v>0</v>
      </c>
      <c r="S516" s="57">
        <f t="shared" si="239"/>
        <v>0</v>
      </c>
      <c r="T516" s="57">
        <f t="shared" si="239"/>
        <v>0</v>
      </c>
      <c r="U516" s="57">
        <f t="shared" si="239"/>
        <v>0</v>
      </c>
      <c r="V516" s="57">
        <f t="shared" si="239"/>
        <v>0</v>
      </c>
      <c r="W516" s="57">
        <f t="shared" si="239"/>
        <v>0</v>
      </c>
      <c r="X516" s="57">
        <f t="shared" si="239"/>
        <v>0</v>
      </c>
      <c r="Y516" s="57">
        <f t="shared" si="239"/>
        <v>0</v>
      </c>
      <c r="Z516" s="57">
        <f t="shared" si="239"/>
        <v>0</v>
      </c>
      <c r="AA516" s="57">
        <f t="shared" si="239"/>
        <v>0</v>
      </c>
    </row>
    <row r="517" spans="2:27" s="4" customFormat="1" ht="17" outlineLevel="1">
      <c r="B517" s="25" t="s">
        <v>47</v>
      </c>
      <c r="C517" s="24"/>
      <c r="D517" s="65">
        <f t="shared" si="227"/>
        <v>1617</v>
      </c>
      <c r="G517" s="57">
        <f>+G197</f>
        <v>0</v>
      </c>
      <c r="H517" s="57">
        <f t="shared" ref="H517:AA517" si="240">+H197</f>
        <v>0</v>
      </c>
      <c r="I517" s="57">
        <f t="shared" si="240"/>
        <v>1617</v>
      </c>
      <c r="J517" s="57">
        <f t="shared" si="240"/>
        <v>0</v>
      </c>
      <c r="K517" s="57">
        <f t="shared" si="240"/>
        <v>0</v>
      </c>
      <c r="L517" s="57">
        <f t="shared" si="240"/>
        <v>0</v>
      </c>
      <c r="M517" s="57">
        <f t="shared" si="240"/>
        <v>0</v>
      </c>
      <c r="N517" s="57">
        <f t="shared" si="240"/>
        <v>0</v>
      </c>
      <c r="O517" s="57">
        <f t="shared" si="240"/>
        <v>0</v>
      </c>
      <c r="P517" s="57">
        <f t="shared" si="240"/>
        <v>0</v>
      </c>
      <c r="Q517" s="57">
        <f t="shared" si="240"/>
        <v>0</v>
      </c>
      <c r="R517" s="57">
        <f t="shared" si="240"/>
        <v>0</v>
      </c>
      <c r="S517" s="57">
        <f t="shared" si="240"/>
        <v>0</v>
      </c>
      <c r="T517" s="57">
        <f t="shared" si="240"/>
        <v>0</v>
      </c>
      <c r="U517" s="57">
        <f t="shared" si="240"/>
        <v>0</v>
      </c>
      <c r="V517" s="57">
        <f t="shared" si="240"/>
        <v>0</v>
      </c>
      <c r="W517" s="57">
        <f t="shared" si="240"/>
        <v>0</v>
      </c>
      <c r="X517" s="57">
        <f t="shared" si="240"/>
        <v>0</v>
      </c>
      <c r="Y517" s="57">
        <f t="shared" si="240"/>
        <v>0</v>
      </c>
      <c r="Z517" s="57">
        <f t="shared" si="240"/>
        <v>0</v>
      </c>
      <c r="AA517" s="57">
        <f t="shared" si="240"/>
        <v>0</v>
      </c>
    </row>
    <row r="518" spans="2:27" s="4" customFormat="1" ht="17" outlineLevel="1">
      <c r="B518" s="25" t="s">
        <v>49</v>
      </c>
      <c r="C518" s="24"/>
      <c r="D518" s="65">
        <f t="shared" si="227"/>
        <v>3448.88623869</v>
      </c>
      <c r="G518" s="57">
        <f>+G229+G261</f>
        <v>0</v>
      </c>
      <c r="H518" s="57">
        <f t="shared" ref="H518:AA518" si="241">+H229+H261</f>
        <v>0</v>
      </c>
      <c r="I518" s="57">
        <f t="shared" si="241"/>
        <v>0</v>
      </c>
      <c r="J518" s="57">
        <f t="shared" si="241"/>
        <v>1724.443119345</v>
      </c>
      <c r="K518" s="57">
        <f t="shared" si="241"/>
        <v>1724.443119345</v>
      </c>
      <c r="L518" s="57">
        <f t="shared" si="241"/>
        <v>0</v>
      </c>
      <c r="M518" s="57">
        <f t="shared" si="241"/>
        <v>0</v>
      </c>
      <c r="N518" s="57">
        <f t="shared" si="241"/>
        <v>0</v>
      </c>
      <c r="O518" s="57">
        <f t="shared" si="241"/>
        <v>0</v>
      </c>
      <c r="P518" s="57">
        <f t="shared" si="241"/>
        <v>0</v>
      </c>
      <c r="Q518" s="57">
        <f t="shared" si="241"/>
        <v>0</v>
      </c>
      <c r="R518" s="57">
        <f t="shared" si="241"/>
        <v>0</v>
      </c>
      <c r="S518" s="57">
        <f t="shared" si="241"/>
        <v>0</v>
      </c>
      <c r="T518" s="57">
        <f t="shared" si="241"/>
        <v>0</v>
      </c>
      <c r="U518" s="57">
        <f t="shared" si="241"/>
        <v>0</v>
      </c>
      <c r="V518" s="57">
        <f t="shared" si="241"/>
        <v>0</v>
      </c>
      <c r="W518" s="57">
        <f t="shared" si="241"/>
        <v>0</v>
      </c>
      <c r="X518" s="57">
        <f t="shared" si="241"/>
        <v>0</v>
      </c>
      <c r="Y518" s="57">
        <f t="shared" si="241"/>
        <v>0</v>
      </c>
      <c r="Z518" s="57">
        <f t="shared" si="241"/>
        <v>0</v>
      </c>
      <c r="AA518" s="57">
        <f t="shared" si="241"/>
        <v>0</v>
      </c>
    </row>
    <row r="519" spans="2:27" s="4" customFormat="1" ht="17" outlineLevel="1">
      <c r="B519" s="25" t="s">
        <v>48</v>
      </c>
      <c r="C519" s="24"/>
      <c r="D519" s="65">
        <f t="shared" si="227"/>
        <v>2391.12</v>
      </c>
      <c r="G519" s="57">
        <f>+G389+G357+G325+G293</f>
        <v>0</v>
      </c>
      <c r="H519" s="57">
        <f t="shared" ref="H519:AA519" si="242">+H389+H357+H325+H293</f>
        <v>0</v>
      </c>
      <c r="I519" s="57">
        <f t="shared" si="242"/>
        <v>0</v>
      </c>
      <c r="J519" s="57">
        <f t="shared" si="242"/>
        <v>0</v>
      </c>
      <c r="K519" s="57">
        <f t="shared" si="242"/>
        <v>0</v>
      </c>
      <c r="L519" s="57">
        <f t="shared" si="242"/>
        <v>530.78</v>
      </c>
      <c r="M519" s="57">
        <f t="shared" si="242"/>
        <v>1065.0149999999999</v>
      </c>
      <c r="N519" s="57">
        <f t="shared" si="242"/>
        <v>795.32499999999993</v>
      </c>
      <c r="O519" s="57">
        <f t="shared" si="242"/>
        <v>0</v>
      </c>
      <c r="P519" s="57">
        <f t="shared" si="242"/>
        <v>0</v>
      </c>
      <c r="Q519" s="57">
        <f t="shared" si="242"/>
        <v>0</v>
      </c>
      <c r="R519" s="57">
        <f t="shared" si="242"/>
        <v>0</v>
      </c>
      <c r="S519" s="57">
        <f t="shared" si="242"/>
        <v>0</v>
      </c>
      <c r="T519" s="57">
        <f t="shared" si="242"/>
        <v>0</v>
      </c>
      <c r="U519" s="57">
        <f t="shared" si="242"/>
        <v>0</v>
      </c>
      <c r="V519" s="57">
        <f t="shared" si="242"/>
        <v>0</v>
      </c>
      <c r="W519" s="57">
        <f t="shared" si="242"/>
        <v>0</v>
      </c>
      <c r="X519" s="57">
        <f t="shared" si="242"/>
        <v>0</v>
      </c>
      <c r="Y519" s="57">
        <f t="shared" si="242"/>
        <v>0</v>
      </c>
      <c r="Z519" s="57">
        <f t="shared" si="242"/>
        <v>0</v>
      </c>
      <c r="AA519" s="57">
        <f t="shared" si="242"/>
        <v>0</v>
      </c>
    </row>
    <row r="520" spans="2:27" s="4" customFormat="1">
      <c r="B520" s="25"/>
      <c r="C520" s="24"/>
      <c r="D520" s="65">
        <f t="shared" si="227"/>
        <v>0</v>
      </c>
    </row>
    <row r="521" spans="2:27" s="4" customFormat="1" ht="17">
      <c r="B521" s="22" t="s">
        <v>263</v>
      </c>
      <c r="C521" s="24"/>
      <c r="D521" s="65">
        <f t="shared" si="227"/>
        <v>3708</v>
      </c>
      <c r="F521" s="57"/>
      <c r="G521" s="57">
        <f>+SUM(G522:G526)</f>
        <v>3308</v>
      </c>
      <c r="H521" s="57">
        <f t="shared" ref="H521:AA521" si="243">+SUM(H522:H526)</f>
        <v>400</v>
      </c>
      <c r="I521" s="57">
        <f t="shared" si="243"/>
        <v>0</v>
      </c>
      <c r="J521" s="57">
        <f t="shared" si="243"/>
        <v>0</v>
      </c>
      <c r="K521" s="57">
        <f t="shared" si="243"/>
        <v>0</v>
      </c>
      <c r="L521" s="57">
        <f t="shared" si="243"/>
        <v>0</v>
      </c>
      <c r="M521" s="57">
        <f t="shared" si="243"/>
        <v>0</v>
      </c>
      <c r="N521" s="57">
        <f t="shared" si="243"/>
        <v>0</v>
      </c>
      <c r="O521" s="57">
        <f t="shared" si="243"/>
        <v>0</v>
      </c>
      <c r="P521" s="57">
        <f t="shared" si="243"/>
        <v>0</v>
      </c>
      <c r="Q521" s="57">
        <f t="shared" si="243"/>
        <v>0</v>
      </c>
      <c r="R521" s="57">
        <f t="shared" si="243"/>
        <v>0</v>
      </c>
      <c r="S521" s="57">
        <f t="shared" si="243"/>
        <v>0</v>
      </c>
      <c r="T521" s="57">
        <f t="shared" si="243"/>
        <v>0</v>
      </c>
      <c r="U521" s="57">
        <f t="shared" si="243"/>
        <v>0</v>
      </c>
      <c r="V521" s="57">
        <f t="shared" si="243"/>
        <v>0</v>
      </c>
      <c r="W521" s="57">
        <f t="shared" si="243"/>
        <v>0</v>
      </c>
      <c r="X521" s="57">
        <f t="shared" si="243"/>
        <v>0</v>
      </c>
      <c r="Y521" s="57">
        <f t="shared" si="243"/>
        <v>0</v>
      </c>
      <c r="Z521" s="57">
        <f t="shared" si="243"/>
        <v>0</v>
      </c>
      <c r="AA521" s="57">
        <f t="shared" si="243"/>
        <v>0</v>
      </c>
    </row>
    <row r="522" spans="2:27" s="4" customFormat="1" ht="17">
      <c r="B522" s="25" t="str">
        <f>+B515</f>
        <v>Amazonika</v>
      </c>
      <c r="C522" s="24"/>
      <c r="D522" s="65">
        <f t="shared" si="227"/>
        <v>0</v>
      </c>
      <c r="G522" s="57">
        <f>+G30+G62</f>
        <v>0</v>
      </c>
      <c r="H522" s="57">
        <f t="shared" ref="H522:AA522" si="244">+H30+H62</f>
        <v>0</v>
      </c>
      <c r="I522" s="57">
        <f t="shared" si="244"/>
        <v>0</v>
      </c>
      <c r="J522" s="57">
        <f t="shared" si="244"/>
        <v>0</v>
      </c>
      <c r="K522" s="57">
        <f t="shared" si="244"/>
        <v>0</v>
      </c>
      <c r="L522" s="57">
        <f t="shared" si="244"/>
        <v>0</v>
      </c>
      <c r="M522" s="57">
        <f t="shared" si="244"/>
        <v>0</v>
      </c>
      <c r="N522" s="57">
        <f t="shared" si="244"/>
        <v>0</v>
      </c>
      <c r="O522" s="57">
        <f t="shared" si="244"/>
        <v>0</v>
      </c>
      <c r="P522" s="57">
        <f t="shared" si="244"/>
        <v>0</v>
      </c>
      <c r="Q522" s="57">
        <f t="shared" si="244"/>
        <v>0</v>
      </c>
      <c r="R522" s="57">
        <f t="shared" si="244"/>
        <v>0</v>
      </c>
      <c r="S522" s="57">
        <f t="shared" si="244"/>
        <v>0</v>
      </c>
      <c r="T522" s="57">
        <f t="shared" si="244"/>
        <v>0</v>
      </c>
      <c r="U522" s="57">
        <f t="shared" si="244"/>
        <v>0</v>
      </c>
      <c r="V522" s="57">
        <f t="shared" si="244"/>
        <v>0</v>
      </c>
      <c r="W522" s="57">
        <f t="shared" si="244"/>
        <v>0</v>
      </c>
      <c r="X522" s="57">
        <f t="shared" si="244"/>
        <v>0</v>
      </c>
      <c r="Y522" s="57">
        <f t="shared" si="244"/>
        <v>0</v>
      </c>
      <c r="Z522" s="57">
        <f t="shared" si="244"/>
        <v>0</v>
      </c>
      <c r="AA522" s="57">
        <f t="shared" si="244"/>
        <v>0</v>
      </c>
    </row>
    <row r="523" spans="2:27" s="4" customFormat="1" ht="17">
      <c r="B523" s="25" t="str">
        <f>+B516</f>
        <v>Paris Campestre</v>
      </c>
      <c r="C523" s="24"/>
      <c r="D523" s="65">
        <f t="shared" si="227"/>
        <v>1908</v>
      </c>
      <c r="G523" s="57">
        <f>+G94+G126</f>
        <v>1908</v>
      </c>
      <c r="H523" s="57">
        <f t="shared" ref="H523:AA523" si="245">+H94+H126</f>
        <v>0</v>
      </c>
      <c r="I523" s="57">
        <f t="shared" si="245"/>
        <v>0</v>
      </c>
      <c r="J523" s="57">
        <f t="shared" si="245"/>
        <v>0</v>
      </c>
      <c r="K523" s="57">
        <f t="shared" si="245"/>
        <v>0</v>
      </c>
      <c r="L523" s="57">
        <f t="shared" si="245"/>
        <v>0</v>
      </c>
      <c r="M523" s="57">
        <f t="shared" si="245"/>
        <v>0</v>
      </c>
      <c r="N523" s="57">
        <f t="shared" si="245"/>
        <v>0</v>
      </c>
      <c r="O523" s="57">
        <f t="shared" si="245"/>
        <v>0</v>
      </c>
      <c r="P523" s="57">
        <f t="shared" si="245"/>
        <v>0</v>
      </c>
      <c r="Q523" s="57">
        <f t="shared" si="245"/>
        <v>0</v>
      </c>
      <c r="R523" s="57">
        <f t="shared" si="245"/>
        <v>0</v>
      </c>
      <c r="S523" s="57">
        <f t="shared" si="245"/>
        <v>0</v>
      </c>
      <c r="T523" s="57">
        <f t="shared" si="245"/>
        <v>0</v>
      </c>
      <c r="U523" s="57">
        <f t="shared" si="245"/>
        <v>0</v>
      </c>
      <c r="V523" s="57">
        <f t="shared" si="245"/>
        <v>0</v>
      </c>
      <c r="W523" s="57">
        <f t="shared" si="245"/>
        <v>0</v>
      </c>
      <c r="X523" s="57">
        <f t="shared" si="245"/>
        <v>0</v>
      </c>
      <c r="Y523" s="57">
        <f t="shared" si="245"/>
        <v>0</v>
      </c>
      <c r="Z523" s="57">
        <f t="shared" si="245"/>
        <v>0</v>
      </c>
      <c r="AA523" s="57">
        <f t="shared" si="245"/>
        <v>0</v>
      </c>
    </row>
    <row r="524" spans="2:27" s="4" customFormat="1" ht="17">
      <c r="B524" s="25" t="str">
        <f>+B517</f>
        <v>Reserva de Modelia</v>
      </c>
      <c r="C524" s="24"/>
      <c r="D524" s="65">
        <f t="shared" si="227"/>
        <v>0</v>
      </c>
      <c r="G524" s="57">
        <f>+G190</f>
        <v>0</v>
      </c>
      <c r="H524" s="57">
        <f t="shared" ref="H524:AA524" si="246">+H190</f>
        <v>0</v>
      </c>
      <c r="I524" s="57">
        <f t="shared" si="246"/>
        <v>0</v>
      </c>
      <c r="J524" s="57">
        <f t="shared" si="246"/>
        <v>0</v>
      </c>
      <c r="K524" s="57">
        <f t="shared" si="246"/>
        <v>0</v>
      </c>
      <c r="L524" s="57">
        <f t="shared" si="246"/>
        <v>0</v>
      </c>
      <c r="M524" s="57">
        <f t="shared" si="246"/>
        <v>0</v>
      </c>
      <c r="N524" s="57">
        <f t="shared" si="246"/>
        <v>0</v>
      </c>
      <c r="O524" s="57">
        <f t="shared" si="246"/>
        <v>0</v>
      </c>
      <c r="P524" s="57">
        <f t="shared" si="246"/>
        <v>0</v>
      </c>
      <c r="Q524" s="57">
        <f t="shared" si="246"/>
        <v>0</v>
      </c>
      <c r="R524" s="57">
        <f t="shared" si="246"/>
        <v>0</v>
      </c>
      <c r="S524" s="57">
        <f t="shared" si="246"/>
        <v>0</v>
      </c>
      <c r="T524" s="57">
        <f t="shared" si="246"/>
        <v>0</v>
      </c>
      <c r="U524" s="57">
        <f t="shared" si="246"/>
        <v>0</v>
      </c>
      <c r="V524" s="57">
        <f t="shared" si="246"/>
        <v>0</v>
      </c>
      <c r="W524" s="57">
        <f t="shared" si="246"/>
        <v>0</v>
      </c>
      <c r="X524" s="57">
        <f t="shared" si="246"/>
        <v>0</v>
      </c>
      <c r="Y524" s="57">
        <f t="shared" si="246"/>
        <v>0</v>
      </c>
      <c r="Z524" s="57">
        <f t="shared" si="246"/>
        <v>0</v>
      </c>
      <c r="AA524" s="57">
        <f t="shared" si="246"/>
        <v>0</v>
      </c>
    </row>
    <row r="525" spans="2:27" s="4" customFormat="1" ht="17">
      <c r="B525" s="25" t="str">
        <f>+B518</f>
        <v>Manglares del Cabrero</v>
      </c>
      <c r="C525" s="24"/>
      <c r="D525" s="65">
        <f t="shared" si="227"/>
        <v>0</v>
      </c>
      <c r="G525" s="57">
        <f>+G222+G254</f>
        <v>0</v>
      </c>
      <c r="H525" s="57">
        <f t="shared" ref="H525:AA525" si="247">+H222+H254</f>
        <v>0</v>
      </c>
      <c r="I525" s="57">
        <f t="shared" si="247"/>
        <v>0</v>
      </c>
      <c r="J525" s="57">
        <f t="shared" si="247"/>
        <v>0</v>
      </c>
      <c r="K525" s="57">
        <f t="shared" si="247"/>
        <v>0</v>
      </c>
      <c r="L525" s="57">
        <f t="shared" si="247"/>
        <v>0</v>
      </c>
      <c r="M525" s="57">
        <f t="shared" si="247"/>
        <v>0</v>
      </c>
      <c r="N525" s="57">
        <f t="shared" si="247"/>
        <v>0</v>
      </c>
      <c r="O525" s="57">
        <f t="shared" si="247"/>
        <v>0</v>
      </c>
      <c r="P525" s="57">
        <f t="shared" si="247"/>
        <v>0</v>
      </c>
      <c r="Q525" s="57">
        <f t="shared" si="247"/>
        <v>0</v>
      </c>
      <c r="R525" s="57">
        <f t="shared" si="247"/>
        <v>0</v>
      </c>
      <c r="S525" s="57">
        <f t="shared" si="247"/>
        <v>0</v>
      </c>
      <c r="T525" s="57">
        <f t="shared" si="247"/>
        <v>0</v>
      </c>
      <c r="U525" s="57">
        <f t="shared" si="247"/>
        <v>0</v>
      </c>
      <c r="V525" s="57">
        <f t="shared" si="247"/>
        <v>0</v>
      </c>
      <c r="W525" s="57">
        <f t="shared" si="247"/>
        <v>0</v>
      </c>
      <c r="X525" s="57">
        <f t="shared" si="247"/>
        <v>0</v>
      </c>
      <c r="Y525" s="57">
        <f t="shared" si="247"/>
        <v>0</v>
      </c>
      <c r="Z525" s="57">
        <f t="shared" si="247"/>
        <v>0</v>
      </c>
      <c r="AA525" s="57">
        <f t="shared" si="247"/>
        <v>0</v>
      </c>
    </row>
    <row r="526" spans="2:27" s="4" customFormat="1" ht="17">
      <c r="B526" s="25" t="str">
        <f>+B519</f>
        <v>Camino Verde</v>
      </c>
      <c r="C526" s="24"/>
      <c r="D526" s="65">
        <f t="shared" si="227"/>
        <v>1800</v>
      </c>
      <c r="G526" s="57">
        <f>+G286+G318+G350+G382</f>
        <v>1400</v>
      </c>
      <c r="H526" s="57">
        <f t="shared" ref="H526:AA526" si="248">+H286+H318+H350+H382</f>
        <v>400</v>
      </c>
      <c r="I526" s="57">
        <f t="shared" si="248"/>
        <v>0</v>
      </c>
      <c r="J526" s="57">
        <f t="shared" si="248"/>
        <v>0</v>
      </c>
      <c r="K526" s="57">
        <f t="shared" si="248"/>
        <v>0</v>
      </c>
      <c r="L526" s="57">
        <f t="shared" si="248"/>
        <v>0</v>
      </c>
      <c r="M526" s="57">
        <f t="shared" si="248"/>
        <v>0</v>
      </c>
      <c r="N526" s="57">
        <f t="shared" si="248"/>
        <v>0</v>
      </c>
      <c r="O526" s="57">
        <f t="shared" si="248"/>
        <v>0</v>
      </c>
      <c r="P526" s="57">
        <f t="shared" si="248"/>
        <v>0</v>
      </c>
      <c r="Q526" s="57">
        <f t="shared" si="248"/>
        <v>0</v>
      </c>
      <c r="R526" s="57">
        <f t="shared" si="248"/>
        <v>0</v>
      </c>
      <c r="S526" s="57">
        <f t="shared" si="248"/>
        <v>0</v>
      </c>
      <c r="T526" s="57">
        <f t="shared" si="248"/>
        <v>0</v>
      </c>
      <c r="U526" s="57">
        <f t="shared" si="248"/>
        <v>0</v>
      </c>
      <c r="V526" s="57">
        <f t="shared" si="248"/>
        <v>0</v>
      </c>
      <c r="W526" s="57">
        <f t="shared" si="248"/>
        <v>0</v>
      </c>
      <c r="X526" s="57">
        <f t="shared" si="248"/>
        <v>0</v>
      </c>
      <c r="Y526" s="57">
        <f t="shared" si="248"/>
        <v>0</v>
      </c>
      <c r="Z526" s="57">
        <f t="shared" si="248"/>
        <v>0</v>
      </c>
      <c r="AA526" s="57">
        <f t="shared" si="248"/>
        <v>0</v>
      </c>
    </row>
    <row r="527" spans="2:27" s="4" customFormat="1">
      <c r="B527" s="25"/>
      <c r="C527" s="24"/>
      <c r="D527" s="65">
        <f t="shared" si="227"/>
        <v>0</v>
      </c>
    </row>
    <row r="528" spans="2:27" s="4" customFormat="1" ht="17">
      <c r="B528" s="22" t="s">
        <v>265</v>
      </c>
      <c r="C528" s="24"/>
      <c r="D528" s="65">
        <f t="shared" si="227"/>
        <v>6327.0615522650005</v>
      </c>
      <c r="F528" s="57"/>
      <c r="G528" s="57">
        <f>+SUM(G529:G533)</f>
        <v>0</v>
      </c>
      <c r="H528" s="57">
        <f t="shared" ref="H528:AA528" si="249">+SUM(H529:H533)</f>
        <v>0</v>
      </c>
      <c r="I528" s="57">
        <f t="shared" si="249"/>
        <v>4527.0615522650005</v>
      </c>
      <c r="J528" s="57">
        <f t="shared" si="249"/>
        <v>0</v>
      </c>
      <c r="K528" s="57">
        <f t="shared" si="249"/>
        <v>1400</v>
      </c>
      <c r="L528" s="57">
        <f t="shared" si="249"/>
        <v>400</v>
      </c>
      <c r="M528" s="57">
        <f t="shared" si="249"/>
        <v>0</v>
      </c>
      <c r="N528" s="57">
        <f t="shared" si="249"/>
        <v>0</v>
      </c>
      <c r="O528" s="57">
        <f t="shared" si="249"/>
        <v>0</v>
      </c>
      <c r="P528" s="57">
        <f t="shared" si="249"/>
        <v>0</v>
      </c>
      <c r="Q528" s="57">
        <f t="shared" si="249"/>
        <v>0</v>
      </c>
      <c r="R528" s="57">
        <f t="shared" si="249"/>
        <v>0</v>
      </c>
      <c r="S528" s="57">
        <f t="shared" si="249"/>
        <v>0</v>
      </c>
      <c r="T528" s="57">
        <f t="shared" si="249"/>
        <v>0</v>
      </c>
      <c r="U528" s="57">
        <f t="shared" si="249"/>
        <v>0</v>
      </c>
      <c r="V528" s="57">
        <f t="shared" si="249"/>
        <v>0</v>
      </c>
      <c r="W528" s="57">
        <f t="shared" si="249"/>
        <v>0</v>
      </c>
      <c r="X528" s="57">
        <f t="shared" si="249"/>
        <v>0</v>
      </c>
      <c r="Y528" s="57">
        <f t="shared" si="249"/>
        <v>0</v>
      </c>
      <c r="Z528" s="57">
        <f t="shared" si="249"/>
        <v>0</v>
      </c>
      <c r="AA528" s="57">
        <f t="shared" si="249"/>
        <v>0</v>
      </c>
    </row>
    <row r="529" spans="2:27" s="4" customFormat="1" ht="17">
      <c r="B529" s="25" t="str">
        <f>+B522</f>
        <v>Amazonika</v>
      </c>
      <c r="C529" s="24"/>
      <c r="D529" s="65">
        <f t="shared" si="227"/>
        <v>0</v>
      </c>
      <c r="G529" s="57">
        <f>+G31+G63</f>
        <v>0</v>
      </c>
      <c r="H529" s="57">
        <f t="shared" ref="H529:AA529" si="250">+H31+H63</f>
        <v>0</v>
      </c>
      <c r="I529" s="57">
        <f t="shared" si="250"/>
        <v>0</v>
      </c>
      <c r="J529" s="57">
        <f t="shared" si="250"/>
        <v>0</v>
      </c>
      <c r="K529" s="57">
        <f t="shared" si="250"/>
        <v>0</v>
      </c>
      <c r="L529" s="57">
        <f t="shared" si="250"/>
        <v>0</v>
      </c>
      <c r="M529" s="57">
        <f t="shared" si="250"/>
        <v>0</v>
      </c>
      <c r="N529" s="57">
        <f t="shared" si="250"/>
        <v>0</v>
      </c>
      <c r="O529" s="57">
        <f t="shared" si="250"/>
        <v>0</v>
      </c>
      <c r="P529" s="57">
        <f t="shared" si="250"/>
        <v>0</v>
      </c>
      <c r="Q529" s="57">
        <f t="shared" si="250"/>
        <v>0</v>
      </c>
      <c r="R529" s="57">
        <f t="shared" si="250"/>
        <v>0</v>
      </c>
      <c r="S529" s="57">
        <f t="shared" si="250"/>
        <v>0</v>
      </c>
      <c r="T529" s="57">
        <f t="shared" si="250"/>
        <v>0</v>
      </c>
      <c r="U529" s="57">
        <f t="shared" si="250"/>
        <v>0</v>
      </c>
      <c r="V529" s="57">
        <f t="shared" si="250"/>
        <v>0</v>
      </c>
      <c r="W529" s="57">
        <f t="shared" si="250"/>
        <v>0</v>
      </c>
      <c r="X529" s="57">
        <f t="shared" si="250"/>
        <v>0</v>
      </c>
      <c r="Y529" s="57">
        <f t="shared" si="250"/>
        <v>0</v>
      </c>
      <c r="Z529" s="57">
        <f t="shared" si="250"/>
        <v>0</v>
      </c>
      <c r="AA529" s="57">
        <f t="shared" si="250"/>
        <v>0</v>
      </c>
    </row>
    <row r="530" spans="2:27" s="4" customFormat="1" ht="17">
      <c r="B530" s="25" t="str">
        <f>+B523</f>
        <v>Paris Campestre</v>
      </c>
      <c r="C530" s="24"/>
      <c r="D530" s="65">
        <f t="shared" si="227"/>
        <v>1908</v>
      </c>
      <c r="G530" s="57">
        <f>+G95+G127</f>
        <v>0</v>
      </c>
      <c r="H530" s="57">
        <f t="shared" ref="H530:AA530" si="251">+H95+H127</f>
        <v>0</v>
      </c>
      <c r="I530" s="57">
        <f t="shared" si="251"/>
        <v>1908</v>
      </c>
      <c r="J530" s="57">
        <f t="shared" si="251"/>
        <v>0</v>
      </c>
      <c r="K530" s="57">
        <f t="shared" si="251"/>
        <v>0</v>
      </c>
      <c r="L530" s="57">
        <f t="shared" si="251"/>
        <v>0</v>
      </c>
      <c r="M530" s="57">
        <f t="shared" si="251"/>
        <v>0</v>
      </c>
      <c r="N530" s="57">
        <f t="shared" si="251"/>
        <v>0</v>
      </c>
      <c r="O530" s="57">
        <f t="shared" si="251"/>
        <v>0</v>
      </c>
      <c r="P530" s="57">
        <f t="shared" si="251"/>
        <v>0</v>
      </c>
      <c r="Q530" s="57">
        <f t="shared" si="251"/>
        <v>0</v>
      </c>
      <c r="R530" s="57">
        <f t="shared" si="251"/>
        <v>0</v>
      </c>
      <c r="S530" s="57">
        <f t="shared" si="251"/>
        <v>0</v>
      </c>
      <c r="T530" s="57">
        <f t="shared" si="251"/>
        <v>0</v>
      </c>
      <c r="U530" s="57">
        <f t="shared" si="251"/>
        <v>0</v>
      </c>
      <c r="V530" s="57">
        <f t="shared" si="251"/>
        <v>0</v>
      </c>
      <c r="W530" s="57">
        <f t="shared" si="251"/>
        <v>0</v>
      </c>
      <c r="X530" s="57">
        <f t="shared" si="251"/>
        <v>0</v>
      </c>
      <c r="Y530" s="57">
        <f t="shared" si="251"/>
        <v>0</v>
      </c>
      <c r="Z530" s="57">
        <f t="shared" si="251"/>
        <v>0</v>
      </c>
      <c r="AA530" s="57">
        <f t="shared" si="251"/>
        <v>0</v>
      </c>
    </row>
    <row r="531" spans="2:27" s="4" customFormat="1" ht="17">
      <c r="B531" s="25" t="str">
        <f>+B524</f>
        <v>Reserva de Modelia</v>
      </c>
      <c r="C531" s="24"/>
      <c r="D531" s="65">
        <f t="shared" si="227"/>
        <v>2619.061552265</v>
      </c>
      <c r="G531" s="57">
        <f>+G191</f>
        <v>0</v>
      </c>
      <c r="H531" s="57">
        <f t="shared" ref="H531:AA531" si="252">+H191</f>
        <v>0</v>
      </c>
      <c r="I531" s="57">
        <f t="shared" si="252"/>
        <v>2619.061552265</v>
      </c>
      <c r="J531" s="57">
        <f t="shared" si="252"/>
        <v>0</v>
      </c>
      <c r="K531" s="57">
        <f t="shared" si="252"/>
        <v>0</v>
      </c>
      <c r="L531" s="57">
        <f t="shared" si="252"/>
        <v>0</v>
      </c>
      <c r="M531" s="57">
        <f t="shared" si="252"/>
        <v>0</v>
      </c>
      <c r="N531" s="57">
        <f t="shared" si="252"/>
        <v>0</v>
      </c>
      <c r="O531" s="57">
        <f t="shared" si="252"/>
        <v>0</v>
      </c>
      <c r="P531" s="57">
        <f t="shared" si="252"/>
        <v>0</v>
      </c>
      <c r="Q531" s="57">
        <f t="shared" si="252"/>
        <v>0</v>
      </c>
      <c r="R531" s="57">
        <f t="shared" si="252"/>
        <v>0</v>
      </c>
      <c r="S531" s="57">
        <f t="shared" si="252"/>
        <v>0</v>
      </c>
      <c r="T531" s="57">
        <f t="shared" si="252"/>
        <v>0</v>
      </c>
      <c r="U531" s="57">
        <f t="shared" si="252"/>
        <v>0</v>
      </c>
      <c r="V531" s="57">
        <f t="shared" si="252"/>
        <v>0</v>
      </c>
      <c r="W531" s="57">
        <f t="shared" si="252"/>
        <v>0</v>
      </c>
      <c r="X531" s="57">
        <f t="shared" si="252"/>
        <v>0</v>
      </c>
      <c r="Y531" s="57">
        <f t="shared" si="252"/>
        <v>0</v>
      </c>
      <c r="Z531" s="57">
        <f t="shared" si="252"/>
        <v>0</v>
      </c>
      <c r="AA531" s="57">
        <f t="shared" si="252"/>
        <v>0</v>
      </c>
    </row>
    <row r="532" spans="2:27" s="4" customFormat="1" ht="17">
      <c r="B532" s="25" t="str">
        <f>+B525</f>
        <v>Manglares del Cabrero</v>
      </c>
      <c r="C532" s="24"/>
      <c r="D532" s="65">
        <f t="shared" si="227"/>
        <v>0</v>
      </c>
      <c r="G532" s="57">
        <f>+G223+G255</f>
        <v>0</v>
      </c>
      <c r="H532" s="57">
        <f t="shared" ref="H532:AA532" si="253">+H223+H255</f>
        <v>0</v>
      </c>
      <c r="I532" s="57">
        <f t="shared" si="253"/>
        <v>0</v>
      </c>
      <c r="J532" s="57">
        <f t="shared" si="253"/>
        <v>0</v>
      </c>
      <c r="K532" s="57">
        <f t="shared" si="253"/>
        <v>0</v>
      </c>
      <c r="L532" s="57">
        <f t="shared" si="253"/>
        <v>0</v>
      </c>
      <c r="M532" s="57">
        <f t="shared" si="253"/>
        <v>0</v>
      </c>
      <c r="N532" s="57">
        <f t="shared" si="253"/>
        <v>0</v>
      </c>
      <c r="O532" s="57">
        <f t="shared" si="253"/>
        <v>0</v>
      </c>
      <c r="P532" s="57">
        <f t="shared" si="253"/>
        <v>0</v>
      </c>
      <c r="Q532" s="57">
        <f t="shared" si="253"/>
        <v>0</v>
      </c>
      <c r="R532" s="57">
        <f t="shared" si="253"/>
        <v>0</v>
      </c>
      <c r="S532" s="57">
        <f t="shared" si="253"/>
        <v>0</v>
      </c>
      <c r="T532" s="57">
        <f t="shared" si="253"/>
        <v>0</v>
      </c>
      <c r="U532" s="57">
        <f t="shared" si="253"/>
        <v>0</v>
      </c>
      <c r="V532" s="57">
        <f t="shared" si="253"/>
        <v>0</v>
      </c>
      <c r="W532" s="57">
        <f t="shared" si="253"/>
        <v>0</v>
      </c>
      <c r="X532" s="57">
        <f t="shared" si="253"/>
        <v>0</v>
      </c>
      <c r="Y532" s="57">
        <f t="shared" si="253"/>
        <v>0</v>
      </c>
      <c r="Z532" s="57">
        <f t="shared" si="253"/>
        <v>0</v>
      </c>
      <c r="AA532" s="57">
        <f t="shared" si="253"/>
        <v>0</v>
      </c>
    </row>
    <row r="533" spans="2:27" s="4" customFormat="1" ht="17">
      <c r="B533" s="25" t="str">
        <f>+B526</f>
        <v>Camino Verde</v>
      </c>
      <c r="C533" s="24"/>
      <c r="D533" s="65">
        <f t="shared" si="227"/>
        <v>1800</v>
      </c>
      <c r="G533" s="57">
        <f>+G287+G319+G351+G383</f>
        <v>0</v>
      </c>
      <c r="H533" s="57">
        <f t="shared" ref="H533:AA533" si="254">+H287+H319+H351+H383</f>
        <v>0</v>
      </c>
      <c r="I533" s="57">
        <f t="shared" si="254"/>
        <v>0</v>
      </c>
      <c r="J533" s="57">
        <f t="shared" si="254"/>
        <v>0</v>
      </c>
      <c r="K533" s="57">
        <f t="shared" si="254"/>
        <v>1400</v>
      </c>
      <c r="L533" s="57">
        <f t="shared" si="254"/>
        <v>400</v>
      </c>
      <c r="M533" s="57">
        <f t="shared" si="254"/>
        <v>0</v>
      </c>
      <c r="N533" s="57">
        <f t="shared" si="254"/>
        <v>0</v>
      </c>
      <c r="O533" s="57">
        <f t="shared" si="254"/>
        <v>0</v>
      </c>
      <c r="P533" s="57">
        <f t="shared" si="254"/>
        <v>0</v>
      </c>
      <c r="Q533" s="57">
        <f t="shared" si="254"/>
        <v>0</v>
      </c>
      <c r="R533" s="57">
        <f t="shared" si="254"/>
        <v>0</v>
      </c>
      <c r="S533" s="57">
        <f t="shared" si="254"/>
        <v>0</v>
      </c>
      <c r="T533" s="57">
        <f t="shared" si="254"/>
        <v>0</v>
      </c>
      <c r="U533" s="57">
        <f t="shared" si="254"/>
        <v>0</v>
      </c>
      <c r="V533" s="57">
        <f t="shared" si="254"/>
        <v>0</v>
      </c>
      <c r="W533" s="57">
        <f t="shared" si="254"/>
        <v>0</v>
      </c>
      <c r="X533" s="57">
        <f t="shared" si="254"/>
        <v>0</v>
      </c>
      <c r="Y533" s="57">
        <f t="shared" si="254"/>
        <v>0</v>
      </c>
      <c r="Z533" s="57">
        <f t="shared" si="254"/>
        <v>0</v>
      </c>
      <c r="AA533" s="57">
        <f t="shared" si="254"/>
        <v>0</v>
      </c>
    </row>
    <row r="534" spans="2:27" s="4" customFormat="1">
      <c r="B534" s="25"/>
      <c r="C534" s="24"/>
      <c r="D534" s="65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</row>
    <row r="535" spans="2:27" s="4" customFormat="1" ht="17">
      <c r="B535" s="22" t="s">
        <v>761</v>
      </c>
      <c r="C535" s="24"/>
      <c r="D535" s="65">
        <f t="shared" si="227"/>
        <v>170075.38639484113</v>
      </c>
      <c r="G535" s="57">
        <f>+SUM(G536:G540)</f>
        <v>0</v>
      </c>
      <c r="H535" s="57">
        <f t="shared" ref="H535:AA535" si="255">+SUM(H536:H540)</f>
        <v>56801.057554162529</v>
      </c>
      <c r="I535" s="57">
        <f t="shared" si="255"/>
        <v>10323.446870041238</v>
      </c>
      <c r="J535" s="57">
        <f t="shared" si="255"/>
        <v>59944.039956837354</v>
      </c>
      <c r="K535" s="57">
        <f t="shared" si="255"/>
        <v>13323.355592700002</v>
      </c>
      <c r="L535" s="57">
        <f t="shared" si="255"/>
        <v>13712.428300199997</v>
      </c>
      <c r="M535" s="57">
        <f t="shared" si="255"/>
        <v>15971.058120900001</v>
      </c>
      <c r="N535" s="57">
        <f t="shared" si="255"/>
        <v>0</v>
      </c>
      <c r="O535" s="57">
        <f t="shared" si="255"/>
        <v>0</v>
      </c>
      <c r="P535" s="57">
        <f t="shared" si="255"/>
        <v>0</v>
      </c>
      <c r="Q535" s="57">
        <f t="shared" si="255"/>
        <v>0</v>
      </c>
      <c r="R535" s="57">
        <f t="shared" si="255"/>
        <v>0</v>
      </c>
      <c r="S535" s="57">
        <f t="shared" si="255"/>
        <v>0</v>
      </c>
      <c r="T535" s="57">
        <f t="shared" si="255"/>
        <v>0</v>
      </c>
      <c r="U535" s="57">
        <f t="shared" si="255"/>
        <v>0</v>
      </c>
      <c r="V535" s="57">
        <f t="shared" si="255"/>
        <v>0</v>
      </c>
      <c r="W535" s="57">
        <f t="shared" si="255"/>
        <v>0</v>
      </c>
      <c r="X535" s="57">
        <f t="shared" si="255"/>
        <v>0</v>
      </c>
      <c r="Y535" s="57">
        <f t="shared" si="255"/>
        <v>0</v>
      </c>
      <c r="Z535" s="57">
        <f t="shared" si="255"/>
        <v>0</v>
      </c>
      <c r="AA535" s="57">
        <f t="shared" si="255"/>
        <v>0</v>
      </c>
    </row>
    <row r="536" spans="2:27" s="4" customFormat="1" ht="17">
      <c r="B536" s="25" t="str">
        <f>+B529</f>
        <v>Amazonika</v>
      </c>
      <c r="C536" s="24"/>
      <c r="D536" s="65">
        <f t="shared" si="227"/>
        <v>14101.522676083632</v>
      </c>
      <c r="G536" s="4">
        <f>+(G14+G46)*'Reg Proy Inmob'!$C$21-SUM($F536:F536)</f>
        <v>0</v>
      </c>
      <c r="H536" s="385">
        <f>+(H14+H46)*'Reg Proy Inmob'!$C$21-SUM($F536:G536)</f>
        <v>10032.279128738181</v>
      </c>
      <c r="I536" s="385">
        <f>+(I14+I46)*'Reg Proy Inmob'!$C$21-SUM($F536:H536)</f>
        <v>4069.2435473454516</v>
      </c>
      <c r="J536" s="385">
        <f>+(J14+J46)*'Reg Proy Inmob'!$C$21-SUM($F536:I536)</f>
        <v>0</v>
      </c>
      <c r="K536" s="385">
        <f>+(K14+K46)*'Reg Proy Inmob'!$C$21-SUM($F536:J536)</f>
        <v>0</v>
      </c>
      <c r="L536" s="385">
        <f>+(L14+L46)*'Reg Proy Inmob'!$C$21-SUM($F536:K536)</f>
        <v>0</v>
      </c>
      <c r="M536" s="385">
        <f>+(M14+M46)*'Reg Proy Inmob'!$C$21-SUM($F536:L536)</f>
        <v>0</v>
      </c>
      <c r="N536" s="385">
        <f>+(N14+N46)*'Reg Proy Inmob'!$C$21-SUM($F536:M536)</f>
        <v>0</v>
      </c>
      <c r="O536" s="385">
        <f>+(O14+O46)*'Reg Proy Inmob'!$C$21-SUM($F536:N536)</f>
        <v>0</v>
      </c>
      <c r="P536" s="385">
        <f>+(P14+P46)*'Reg Proy Inmob'!$C$21-SUM($F536:O536)</f>
        <v>0</v>
      </c>
      <c r="Q536" s="385">
        <f>+(Q14+Q46)*'Reg Proy Inmob'!$C$21-SUM($F536:P536)</f>
        <v>0</v>
      </c>
      <c r="R536" s="385">
        <f>+(R14+R46)*'Reg Proy Inmob'!$C$21-SUM($F536:Q536)</f>
        <v>0</v>
      </c>
      <c r="S536" s="385">
        <f>+(S14+S46)*'Reg Proy Inmob'!$C$21-SUM($F536:R536)</f>
        <v>0</v>
      </c>
      <c r="T536" s="385">
        <f>+(T14+T46)*'Reg Proy Inmob'!$C$21-SUM($F536:S536)</f>
        <v>0</v>
      </c>
      <c r="U536" s="385">
        <f>+(U14+U46)*'Reg Proy Inmob'!$C$21-SUM($F536:T536)</f>
        <v>0</v>
      </c>
      <c r="V536" s="385">
        <f>+(V14+V46)*'Reg Proy Inmob'!$C$21-SUM($F536:U536)</f>
        <v>0</v>
      </c>
      <c r="W536" s="385">
        <f>+(W14+W46)*'Reg Proy Inmob'!$C$21-SUM($F536:V536)</f>
        <v>0</v>
      </c>
      <c r="X536" s="385">
        <f>+(X14+X46)*'Reg Proy Inmob'!$C$21-SUM($F536:W536)</f>
        <v>0</v>
      </c>
      <c r="Y536" s="385">
        <f>+(Y14+Y46)*'Reg Proy Inmob'!$C$21-SUM($F536:X536)</f>
        <v>0</v>
      </c>
      <c r="Z536" s="385">
        <f>+(Z14+Z46)*'Reg Proy Inmob'!$C$21-SUM($F536:Y536)</f>
        <v>0</v>
      </c>
      <c r="AA536" s="385">
        <f>+(AA14+AA46)*'Reg Proy Inmob'!$C$21-SUM($F536:Z536)</f>
        <v>0</v>
      </c>
    </row>
    <row r="537" spans="2:27" s="4" customFormat="1" ht="17">
      <c r="B537" s="25" t="str">
        <f>+B530</f>
        <v>Paris Campestre</v>
      </c>
      <c r="C537" s="24"/>
      <c r="D537" s="65">
        <f t="shared" si="227"/>
        <v>51752.948435590399</v>
      </c>
      <c r="G537" s="4">
        <f>+(G78+G110)*'Reg Proy Inmob'!$C$71-SUM($F537:F537)</f>
        <v>0</v>
      </c>
      <c r="H537" s="385">
        <f>+(H78+H110)*'Reg Proy Inmob'!$C$71-SUM($F537:G537)</f>
        <v>19544.385383424345</v>
      </c>
      <c r="I537" s="385">
        <f>+(I78+I110)*'Reg Proy Inmob'!$C$71-SUM($F537:H537)</f>
        <v>6254.2033226957865</v>
      </c>
      <c r="J537" s="385">
        <f>+(J78+J110)*'Reg Proy Inmob'!$C$71-SUM($F537:I537)</f>
        <v>25954.359729470267</v>
      </c>
      <c r="K537" s="385">
        <f>+(K78+K110)*'Reg Proy Inmob'!$C$71-SUM($F537:J537)</f>
        <v>0</v>
      </c>
      <c r="L537" s="385">
        <f>+(L78+L110)*'Reg Proy Inmob'!$C$71-SUM($F537:K537)</f>
        <v>0</v>
      </c>
      <c r="M537" s="385">
        <f>+(M78+M110)*'Reg Proy Inmob'!$C$71-SUM($F537:L537)</f>
        <v>0</v>
      </c>
      <c r="N537" s="385">
        <f>+(N78+N110)*'Reg Proy Inmob'!$C$71-SUM($F537:M537)</f>
        <v>0</v>
      </c>
      <c r="O537" s="385">
        <f>+(O78+O110)*'Reg Proy Inmob'!$C$71-SUM($F537:N537)</f>
        <v>0</v>
      </c>
      <c r="P537" s="385">
        <f>+(P78+P110)*'Reg Proy Inmob'!$C$71-SUM($F537:O537)</f>
        <v>0</v>
      </c>
      <c r="Q537" s="385">
        <f>+(Q78+Q110)*'Reg Proy Inmob'!$C$71-SUM($F537:P537)</f>
        <v>0</v>
      </c>
      <c r="R537" s="385">
        <f>+(R78+R110)*'Reg Proy Inmob'!$C$71-SUM($F537:Q537)</f>
        <v>0</v>
      </c>
      <c r="S537" s="385">
        <f>+(S78+S110)*'Reg Proy Inmob'!$C$71-SUM($F537:R537)</f>
        <v>0</v>
      </c>
      <c r="T537" s="385">
        <f>+(T78+T110)*'Reg Proy Inmob'!$C$71-SUM($F537:S537)</f>
        <v>0</v>
      </c>
      <c r="U537" s="385">
        <f>+(U78+U110)*'Reg Proy Inmob'!$C$71-SUM($F537:T537)</f>
        <v>0</v>
      </c>
      <c r="V537" s="385">
        <f>+(V78+V110)*'Reg Proy Inmob'!$C$71-SUM($F537:U537)</f>
        <v>0</v>
      </c>
      <c r="W537" s="385">
        <f>+(W78+W110)*'Reg Proy Inmob'!$C$71-SUM($F537:V537)</f>
        <v>0</v>
      </c>
      <c r="X537" s="385">
        <f>+(X78+X110)*'Reg Proy Inmob'!$C$71-SUM($F537:W537)</f>
        <v>0</v>
      </c>
      <c r="Y537" s="385">
        <f>+(Y78+Y110)*'Reg Proy Inmob'!$C$71-SUM($F537:X537)</f>
        <v>0</v>
      </c>
      <c r="Z537" s="385">
        <f>+(Z78+Z110)*'Reg Proy Inmob'!$C$71-SUM($F537:Y537)</f>
        <v>0</v>
      </c>
      <c r="AA537" s="385">
        <f>+(AA78+AA110)*'Reg Proy Inmob'!$C$71-SUM($F537:Z537)</f>
        <v>0</v>
      </c>
    </row>
    <row r="538" spans="2:27" s="4" customFormat="1" ht="17">
      <c r="B538" s="25" t="str">
        <f>+B531</f>
        <v>Reserva de Modelia</v>
      </c>
      <c r="C538" s="24"/>
      <c r="D538" s="65">
        <f t="shared" si="227"/>
        <v>27224.393042</v>
      </c>
      <c r="G538" s="4">
        <f>+(G174)*'Reg Proy Inmob'!$C$121-SUM($F538:F538)</f>
        <v>0</v>
      </c>
      <c r="H538" s="385">
        <f>+(H174)*'Reg Proy Inmob'!$C$121-SUM($F538:G538)</f>
        <v>27224.393042</v>
      </c>
      <c r="I538" s="385">
        <f>+(I174)*'Reg Proy Inmob'!$C$121-SUM($F538:H538)</f>
        <v>0</v>
      </c>
      <c r="J538" s="385">
        <f>+(J174)*'Reg Proy Inmob'!$C$121-SUM($F538:I538)</f>
        <v>0</v>
      </c>
      <c r="K538" s="385">
        <f>+(K174)*'Reg Proy Inmob'!$C$121-SUM($F538:J538)</f>
        <v>0</v>
      </c>
      <c r="L538" s="385">
        <f>+(L174)*'Reg Proy Inmob'!$C$121-SUM($F538:K538)</f>
        <v>0</v>
      </c>
      <c r="M538" s="385">
        <f>+(M174)*'Reg Proy Inmob'!$C$121-SUM($F538:L538)</f>
        <v>0</v>
      </c>
      <c r="N538" s="385">
        <f>+(N174)*'Reg Proy Inmob'!$C$121-SUM($F538:M538)</f>
        <v>0</v>
      </c>
      <c r="O538" s="385">
        <f>+(O174)*'Reg Proy Inmob'!$C$121-SUM($F538:N538)</f>
        <v>0</v>
      </c>
      <c r="P538" s="385">
        <f>+(P174)*'Reg Proy Inmob'!$C$121-SUM($F538:O538)</f>
        <v>0</v>
      </c>
      <c r="Q538" s="385">
        <f>+(Q174)*'Reg Proy Inmob'!$C$121-SUM($F538:P538)</f>
        <v>0</v>
      </c>
      <c r="R538" s="385">
        <f>+(R174)*'Reg Proy Inmob'!$C$121-SUM($F538:Q538)</f>
        <v>0</v>
      </c>
      <c r="S538" s="385">
        <f>+(S174)*'Reg Proy Inmob'!$C$121-SUM($F538:R538)</f>
        <v>0</v>
      </c>
      <c r="T538" s="385">
        <f>+(T174)*'Reg Proy Inmob'!$C$121-SUM($F538:S538)</f>
        <v>0</v>
      </c>
      <c r="U538" s="385">
        <f>+(U174)*'Reg Proy Inmob'!$C$121-SUM($F538:T538)</f>
        <v>0</v>
      </c>
      <c r="V538" s="385">
        <f>+(V174)*'Reg Proy Inmob'!$C$121-SUM($F538:U538)</f>
        <v>0</v>
      </c>
      <c r="W538" s="385">
        <f>+(W174)*'Reg Proy Inmob'!$C$121-SUM($F538:V538)</f>
        <v>0</v>
      </c>
      <c r="X538" s="385">
        <f>+(X174)*'Reg Proy Inmob'!$C$121-SUM($F538:W538)</f>
        <v>0</v>
      </c>
      <c r="Y538" s="385">
        <f>+(Y174)*'Reg Proy Inmob'!$C$121-SUM($F538:X538)</f>
        <v>0</v>
      </c>
      <c r="Z538" s="385">
        <f>+(Z174)*'Reg Proy Inmob'!$C$121-SUM($F538:Y538)</f>
        <v>0</v>
      </c>
      <c r="AA538" s="385">
        <f>+(AA174)*'Reg Proy Inmob'!$C$121-SUM($F538:Z538)</f>
        <v>0</v>
      </c>
    </row>
    <row r="539" spans="2:27" s="4" customFormat="1" ht="17">
      <c r="B539" s="25" t="str">
        <f>+B532</f>
        <v>Manglares del Cabrero</v>
      </c>
      <c r="C539" s="24"/>
      <c r="D539" s="65">
        <f t="shared" si="227"/>
        <v>21067.446045367084</v>
      </c>
      <c r="G539" s="4">
        <f>+(G206*'Reg Proy Inmob'!$C$146+G238*'Reg Proy Inmob'!$C$171)-SUM($F539:F539)</f>
        <v>0</v>
      </c>
      <c r="H539" s="385"/>
      <c r="I539" s="385"/>
      <c r="J539" s="385">
        <f>+(J206*'Reg Proy Inmob'!$C$146+J238*'Reg Proy Inmob'!$C$171)-SUM($F539:I539)-24520</f>
        <v>21067.446045367084</v>
      </c>
      <c r="K539" s="385"/>
      <c r="L539" s="385"/>
      <c r="M539" s="385"/>
      <c r="N539" s="385"/>
      <c r="O539" s="385"/>
      <c r="P539" s="385"/>
      <c r="Q539" s="385"/>
      <c r="R539" s="385"/>
      <c r="S539" s="385"/>
      <c r="T539" s="385"/>
      <c r="U539" s="385"/>
      <c r="V539" s="385"/>
      <c r="W539" s="385"/>
      <c r="X539" s="385"/>
      <c r="Y539" s="385"/>
      <c r="Z539" s="385"/>
      <c r="AA539" s="385"/>
    </row>
    <row r="540" spans="2:27" s="4" customFormat="1" ht="17">
      <c r="B540" s="25" t="str">
        <f>+B533</f>
        <v>Camino Verde</v>
      </c>
      <c r="C540" s="24"/>
      <c r="D540" s="65">
        <f t="shared" si="227"/>
        <v>55929.0761958</v>
      </c>
      <c r="G540" s="4">
        <f>+(G270+G302+G334+G366)*'Reg Proy Inmob'!$C$271-SUM($F540:F540)</f>
        <v>0</v>
      </c>
      <c r="H540" s="385">
        <f>+(H270+H302+H334+H366)*'Reg Proy Inmob'!$C$271-SUM($F540:G540)</f>
        <v>0</v>
      </c>
      <c r="I540" s="385">
        <f>+(I270+I302+I334+I366)*'Reg Proy Inmob'!$C$271-SUM($F540:H540)</f>
        <v>0</v>
      </c>
      <c r="J540" s="385">
        <f>+(J270+J302+J334+J366)*'Reg Proy Inmob'!$C$271-SUM($F540:I540)</f>
        <v>12922.234182</v>
      </c>
      <c r="K540" s="385">
        <f>+(K270+K302+K334+K366)*'Reg Proy Inmob'!$C$271-SUM($F540:J540)</f>
        <v>13323.355592700002</v>
      </c>
      <c r="L540" s="385">
        <f>+(L270+L302+L334+L366)*'Reg Proy Inmob'!$C$271-SUM($F540:K540)</f>
        <v>13712.428300199997</v>
      </c>
      <c r="M540" s="385">
        <f>+(M270+M302+M334+M366)*'Reg Proy Inmob'!$C$271-SUM($F540:L540)</f>
        <v>15971.058120900001</v>
      </c>
      <c r="N540" s="385">
        <f>+(N270+N302+N334+N366)*'Reg Proy Inmob'!$C$271-SUM($F540:M540)</f>
        <v>0</v>
      </c>
      <c r="O540" s="385" t="s">
        <v>762</v>
      </c>
      <c r="P540" s="385">
        <f>+(P270+P302+P334+P366)*'Reg Proy Inmob'!$C$271-SUM($F540:O540)</f>
        <v>0</v>
      </c>
      <c r="Q540" s="385">
        <f>+(Q270+Q302+Q334+Q366)*'Reg Proy Inmob'!$C$271-SUM($F540:P540)</f>
        <v>0</v>
      </c>
      <c r="R540" s="385">
        <f>+(R270+R302+R334+R366)*'Reg Proy Inmob'!$C$271-SUM($F540:Q540)</f>
        <v>0</v>
      </c>
      <c r="S540" s="385">
        <f>+(S270+S302+S334+S366)*'Reg Proy Inmob'!$C$271-SUM($F540:R540)</f>
        <v>0</v>
      </c>
      <c r="T540" s="385">
        <f>+(T270+T302+T334+T366)*'Reg Proy Inmob'!$C$271-SUM($F540:S540)</f>
        <v>0</v>
      </c>
      <c r="U540" s="385">
        <f>+(U270+U302+U334+U366)*'Reg Proy Inmob'!$C$271-SUM($F540:T540)</f>
        <v>0</v>
      </c>
      <c r="V540" s="385">
        <f>+(V270+V302+V334+V366)*'Reg Proy Inmob'!$C$271-SUM($F540:U540)</f>
        <v>0</v>
      </c>
      <c r="W540" s="385">
        <f>+(W270+W302+W334+W366)*'Reg Proy Inmob'!$C$271-SUM($F540:V540)</f>
        <v>0</v>
      </c>
      <c r="X540" s="385">
        <f>+(X270+X302+X334+X366)*'Reg Proy Inmob'!$C$271-SUM($F540:W540)</f>
        <v>0</v>
      </c>
      <c r="Y540" s="385">
        <f>+(Y270+Y302+Y334+Y366)*'Reg Proy Inmob'!$C$271-SUM($F540:X540)</f>
        <v>0</v>
      </c>
      <c r="Z540" s="385">
        <f>+(Z270+Z302+Z334+Z366)*'Reg Proy Inmob'!$C$271-SUM($F540:Y540)</f>
        <v>0</v>
      </c>
      <c r="AA540" s="385">
        <f>+(AA270+AA302+AA334+AA366)*'Reg Proy Inmob'!$C$271-SUM($F540:Z540)</f>
        <v>0</v>
      </c>
    </row>
    <row r="541" spans="2:27" s="4" customFormat="1" ht="17">
      <c r="B541" s="22" t="s">
        <v>358</v>
      </c>
      <c r="C541" s="24"/>
    </row>
    <row r="542" spans="2:27" s="4" customFormat="1" ht="17">
      <c r="B542" s="25" t="str">
        <f>+B526</f>
        <v>Camino Verde</v>
      </c>
      <c r="C542" s="24"/>
      <c r="D542" s="4">
        <f>+SUM(G542:AA542)</f>
        <v>36206.950000000004</v>
      </c>
      <c r="G542" s="4">
        <f>+G390+G358+G326+G294</f>
        <v>0</v>
      </c>
      <c r="H542" s="4">
        <f t="shared" ref="H542:AA542" si="256">+H390+H358+H326+H294</f>
        <v>0</v>
      </c>
      <c r="I542" s="4">
        <f t="shared" si="256"/>
        <v>0</v>
      </c>
      <c r="J542" s="4">
        <f>+J390+J358+J326+J294</f>
        <v>8365.5</v>
      </c>
      <c r="K542" s="4">
        <f t="shared" si="256"/>
        <v>8625.1750000000011</v>
      </c>
      <c r="L542" s="4">
        <f t="shared" si="256"/>
        <v>8877.0500000000011</v>
      </c>
      <c r="M542" s="4">
        <f t="shared" si="256"/>
        <v>10339.225</v>
      </c>
      <c r="N542" s="4">
        <f t="shared" si="256"/>
        <v>0</v>
      </c>
      <c r="O542" s="4">
        <f t="shared" si="256"/>
        <v>0</v>
      </c>
      <c r="P542" s="4">
        <f t="shared" si="256"/>
        <v>0</v>
      </c>
      <c r="Q542" s="4">
        <f t="shared" si="256"/>
        <v>0</v>
      </c>
      <c r="R542" s="4">
        <f t="shared" si="256"/>
        <v>0</v>
      </c>
      <c r="S542" s="4">
        <f t="shared" si="256"/>
        <v>0</v>
      </c>
      <c r="T542" s="4">
        <f t="shared" si="256"/>
        <v>0</v>
      </c>
      <c r="U542" s="4">
        <f t="shared" si="256"/>
        <v>0</v>
      </c>
      <c r="V542" s="4">
        <f t="shared" si="256"/>
        <v>0</v>
      </c>
      <c r="W542" s="4">
        <f t="shared" si="256"/>
        <v>0</v>
      </c>
      <c r="X542" s="4">
        <f t="shared" si="256"/>
        <v>0</v>
      </c>
      <c r="Y542" s="4">
        <f t="shared" si="256"/>
        <v>0</v>
      </c>
      <c r="Z542" s="4">
        <f t="shared" si="256"/>
        <v>0</v>
      </c>
      <c r="AA542" s="4">
        <f t="shared" si="256"/>
        <v>0</v>
      </c>
    </row>
    <row r="543" spans="2:27" s="4" customFormat="1">
      <c r="B543" s="25"/>
      <c r="C543" s="24"/>
    </row>
    <row r="544" spans="2:27" s="4" customFormat="1" ht="17">
      <c r="B544" s="54" t="s">
        <v>14</v>
      </c>
      <c r="C544" s="77" t="s">
        <v>274</v>
      </c>
      <c r="D544" s="4" t="s">
        <v>275</v>
      </c>
    </row>
    <row r="545" spans="2:4">
      <c r="B545">
        <v>2019</v>
      </c>
      <c r="C545">
        <f>+Proyecciones!G49</f>
        <v>0</v>
      </c>
      <c r="D545" t="str">
        <f>+Proyecciones!G50</f>
        <v>Inf</v>
      </c>
    </row>
    <row r="546" spans="2:4">
      <c r="B546">
        <v>2020</v>
      </c>
      <c r="C546">
        <f>+Proyecciones!H49</f>
        <v>2</v>
      </c>
      <c r="D546" t="str">
        <f>+Proyecciones!H50</f>
        <v>Inf</v>
      </c>
    </row>
    <row r="547" spans="2:4">
      <c r="B547">
        <v>2021</v>
      </c>
      <c r="C547">
        <f>+Proyecciones!I49</f>
        <v>3</v>
      </c>
      <c r="D547" t="str">
        <f>+Proyecciones!I50</f>
        <v>Inf</v>
      </c>
    </row>
    <row r="548" spans="2:4">
      <c r="B548">
        <v>2022</v>
      </c>
      <c r="C548">
        <f>+Proyecciones!J49</f>
        <v>3</v>
      </c>
      <c r="D548" t="str">
        <f>+Proyecciones!J50</f>
        <v>Inf</v>
      </c>
    </row>
    <row r="549" spans="2:4">
      <c r="B549">
        <v>2023</v>
      </c>
      <c r="C549">
        <f>+Proyecciones!K49</f>
        <v>3</v>
      </c>
      <c r="D549" t="str">
        <f>+Proyecciones!K50</f>
        <v>Inf</v>
      </c>
    </row>
    <row r="550" spans="2:4">
      <c r="B550">
        <v>2024</v>
      </c>
      <c r="C550">
        <f>+Proyecciones!L49</f>
        <v>3</v>
      </c>
      <c r="D550" t="str">
        <f>+Proyecciones!L50</f>
        <v>Inf</v>
      </c>
    </row>
    <row r="551" spans="2:4">
      <c r="B551">
        <v>2025</v>
      </c>
      <c r="C551">
        <f>+Proyecciones!M49</f>
        <v>4</v>
      </c>
      <c r="D551" t="str">
        <f>+Proyecciones!M50</f>
        <v>Inf</v>
      </c>
    </row>
    <row r="552" spans="2:4">
      <c r="B552">
        <v>2026</v>
      </c>
      <c r="C552">
        <f>+Proyecciones!N49</f>
        <v>4</v>
      </c>
      <c r="D552" t="str">
        <f>+Proyecciones!N50</f>
        <v>Inf</v>
      </c>
    </row>
    <row r="553" spans="2:4">
      <c r="B553">
        <v>2027</v>
      </c>
      <c r="C553">
        <f>+Proyecciones!O49</f>
        <v>4</v>
      </c>
      <c r="D553" t="str">
        <f>+Proyecciones!O50</f>
        <v>Inf</v>
      </c>
    </row>
    <row r="554" spans="2:4">
      <c r="B554">
        <v>2028</v>
      </c>
      <c r="C554">
        <f>+Proyecciones!P49</f>
        <v>4</v>
      </c>
      <c r="D554" t="str">
        <f>+Proyecciones!P50</f>
        <v>Inf</v>
      </c>
    </row>
    <row r="555" spans="2:4">
      <c r="B555">
        <v>2029</v>
      </c>
      <c r="C555">
        <f>+Proyecciones!Q49</f>
        <v>4</v>
      </c>
      <c r="D555" t="str">
        <f>+Proyecciones!Q50</f>
        <v>Inf</v>
      </c>
    </row>
    <row r="556" spans="2:4">
      <c r="B556">
        <v>2030</v>
      </c>
      <c r="C556">
        <f>+Proyecciones!R49</f>
        <v>1</v>
      </c>
      <c r="D556" t="str">
        <f>+Proyecciones!R50</f>
        <v>Inf</v>
      </c>
    </row>
    <row r="557" spans="2:4">
      <c r="B557">
        <v>2031</v>
      </c>
      <c r="C557">
        <f>+Proyecciones!S49</f>
        <v>4</v>
      </c>
      <c r="D557" t="str">
        <f>+Proyecciones!S50</f>
        <v>Inf</v>
      </c>
    </row>
    <row r="558" spans="2:4">
      <c r="B558">
        <v>2032</v>
      </c>
      <c r="C558">
        <f>+Proyecciones!T49</f>
        <v>4</v>
      </c>
      <c r="D558" t="str">
        <f>+Proyecciones!T50</f>
        <v>Inf</v>
      </c>
    </row>
    <row r="559" spans="2:4">
      <c r="B559">
        <v>2033</v>
      </c>
      <c r="C559">
        <f>+Proyecciones!U49</f>
        <v>4</v>
      </c>
      <c r="D559" t="str">
        <f>+Proyecciones!U50</f>
        <v>Inf</v>
      </c>
    </row>
    <row r="560" spans="2:4">
      <c r="B560">
        <v>2034</v>
      </c>
      <c r="C560">
        <f>+Proyecciones!V49</f>
        <v>4</v>
      </c>
      <c r="D560" t="str">
        <f>+Proyecciones!V50</f>
        <v>Inf</v>
      </c>
    </row>
    <row r="561" spans="2:27">
      <c r="B561">
        <v>2035</v>
      </c>
      <c r="C561">
        <f>+Proyecciones!W49</f>
        <v>4</v>
      </c>
      <c r="D561" t="str">
        <f>+Proyecciones!W50</f>
        <v>Inf</v>
      </c>
    </row>
    <row r="562" spans="2:27">
      <c r="B562">
        <v>2036</v>
      </c>
      <c r="C562">
        <f>+Proyecciones!X49</f>
        <v>1</v>
      </c>
      <c r="D562" t="str">
        <f>+Proyecciones!X50</f>
        <v>Inf</v>
      </c>
    </row>
    <row r="563" spans="2:27">
      <c r="B563">
        <v>2037</v>
      </c>
      <c r="C563">
        <f>+Proyecciones!Y49</f>
        <v>4</v>
      </c>
      <c r="D563" t="str">
        <f>+Proyecciones!Y50</f>
        <v>Inf</v>
      </c>
    </row>
    <row r="564" spans="2:27">
      <c r="B564">
        <v>2038</v>
      </c>
      <c r="C564">
        <f>+Proyecciones!Z49</f>
        <v>4</v>
      </c>
      <c r="D564" t="str">
        <f>+Proyecciones!Z50</f>
        <v>Inf</v>
      </c>
    </row>
    <row r="565" spans="2:27">
      <c r="B565">
        <v>2039</v>
      </c>
      <c r="C565">
        <f>+Proyecciones!AA49</f>
        <v>4</v>
      </c>
      <c r="D565" t="str">
        <f>+Proyecciones!AA50</f>
        <v>Inf</v>
      </c>
    </row>
    <row r="566" spans="2:27">
      <c r="B566">
        <v>2040</v>
      </c>
      <c r="C566">
        <f>+Proyecciones!AB49</f>
        <v>4</v>
      </c>
      <c r="D566" t="str">
        <f>+Proyecciones!AB50</f>
        <v>Inf</v>
      </c>
    </row>
    <row r="567" spans="2:27">
      <c r="B567">
        <v>2041</v>
      </c>
      <c r="C567">
        <f>+Proyecciones!AC49</f>
        <v>4</v>
      </c>
      <c r="D567" t="str">
        <f>+Proyecciones!AC50</f>
        <v>Inf</v>
      </c>
    </row>
    <row r="569" spans="2:27" ht="17" thickBot="1"/>
    <row r="570" spans="2:27" ht="34" customHeight="1" thickBot="1">
      <c r="B570" s="387" t="s">
        <v>613</v>
      </c>
      <c r="C570" s="388"/>
      <c r="D570" s="388"/>
      <c r="E570" s="389"/>
      <c r="F570" s="311" t="s">
        <v>619</v>
      </c>
      <c r="G570" s="317">
        <f>+G4</f>
        <v>2019</v>
      </c>
      <c r="H570" s="317">
        <f t="shared" ref="H570:AA570" si="257">+H4</f>
        <v>2020</v>
      </c>
      <c r="I570" s="317">
        <f t="shared" si="257"/>
        <v>2021</v>
      </c>
      <c r="J570" s="317">
        <f t="shared" si="257"/>
        <v>2022</v>
      </c>
      <c r="K570" s="317">
        <f t="shared" si="257"/>
        <v>2023</v>
      </c>
      <c r="L570" s="317">
        <f t="shared" si="257"/>
        <v>2024</v>
      </c>
      <c r="M570" s="317">
        <f t="shared" si="257"/>
        <v>2025</v>
      </c>
      <c r="N570" s="317">
        <f t="shared" si="257"/>
        <v>2026</v>
      </c>
      <c r="O570" s="317">
        <f t="shared" si="257"/>
        <v>2027</v>
      </c>
      <c r="P570" s="317">
        <f t="shared" si="257"/>
        <v>2028</v>
      </c>
      <c r="Q570" s="317">
        <f t="shared" si="257"/>
        <v>2029</v>
      </c>
      <c r="R570" s="317">
        <f t="shared" si="257"/>
        <v>2030</v>
      </c>
      <c r="S570" s="317">
        <f t="shared" si="257"/>
        <v>2031</v>
      </c>
      <c r="T570" s="317">
        <f t="shared" si="257"/>
        <v>2032</v>
      </c>
      <c r="U570" s="317">
        <f t="shared" si="257"/>
        <v>2033</v>
      </c>
      <c r="V570" s="317">
        <f t="shared" si="257"/>
        <v>2034</v>
      </c>
      <c r="W570" s="317">
        <f t="shared" si="257"/>
        <v>2035</v>
      </c>
      <c r="X570" s="317">
        <f t="shared" si="257"/>
        <v>2036</v>
      </c>
      <c r="Y570" s="317">
        <f t="shared" si="257"/>
        <v>2037</v>
      </c>
      <c r="Z570" s="317">
        <f t="shared" si="257"/>
        <v>2038</v>
      </c>
      <c r="AA570" s="318">
        <f t="shared" si="257"/>
        <v>2039</v>
      </c>
    </row>
    <row r="571" spans="2:27">
      <c r="B571" s="315" t="str">
        <f>+B605</f>
        <v>Arquitectura</v>
      </c>
      <c r="C571" s="295"/>
      <c r="D571" s="295"/>
      <c r="E571" s="295"/>
      <c r="F571" s="308"/>
      <c r="G571" s="295"/>
      <c r="H571" s="295"/>
      <c r="I571" s="295"/>
      <c r="J571" s="295"/>
      <c r="K571" s="295"/>
      <c r="L571" s="295"/>
      <c r="M571" s="295"/>
      <c r="N571" s="295"/>
      <c r="O571" s="295"/>
      <c r="P571" s="295"/>
      <c r="Q571" s="295"/>
      <c r="R571" s="295"/>
      <c r="S571" s="295"/>
      <c r="T571" s="295"/>
      <c r="U571" s="295"/>
      <c r="V571" s="295"/>
      <c r="W571" s="295"/>
      <c r="X571" s="295"/>
      <c r="Y571" s="295"/>
      <c r="Z571" s="295"/>
      <c r="AA571" s="296"/>
    </row>
    <row r="572" spans="2:27">
      <c r="B572" s="309" t="str">
        <f>+B606</f>
        <v>Ventas</v>
      </c>
      <c r="C572" s="83"/>
      <c r="D572" s="83"/>
      <c r="E572" s="83"/>
      <c r="F572" s="312">
        <f>+SUM(G572:AA572)</f>
        <v>25678.709321371491</v>
      </c>
      <c r="G572" s="297">
        <f>+G606+G636+G666+G696+G726+G756+G786+G816+G846+G876+G906+G936+G966+G996+G1026+G1056+G1086+G1116+G1146+G1176+G1206+G1236</f>
        <v>0</v>
      </c>
      <c r="H572" s="297">
        <f t="shared" ref="H572:AA572" si="258">+H606+H636+H666+H696+H726+H756+H786+H816+H846+H876+H906+H936+H966+H996+H1026+H1056+H1086+H1116+H1146+H1176+H1206+H1236</f>
        <v>22.386078000000001</v>
      </c>
      <c r="I572" s="297">
        <f t="shared" si="258"/>
        <v>103.83532807322581</v>
      </c>
      <c r="J572" s="297">
        <f t="shared" si="258"/>
        <v>252.12267344428392</v>
      </c>
      <c r="K572" s="297">
        <f t="shared" si="258"/>
        <v>445.9760324267175</v>
      </c>
      <c r="L572" s="297">
        <f t="shared" si="258"/>
        <v>645.24051746872919</v>
      </c>
      <c r="M572" s="297">
        <f t="shared" si="258"/>
        <v>861.00750395267858</v>
      </c>
      <c r="N572" s="297">
        <f t="shared" si="258"/>
        <v>1054.9052629135606</v>
      </c>
      <c r="O572" s="297">
        <f t="shared" si="258"/>
        <v>1244.3828254620225</v>
      </c>
      <c r="P572" s="297">
        <f t="shared" si="258"/>
        <v>1370.5302296564964</v>
      </c>
      <c r="Q572" s="297">
        <f t="shared" si="258"/>
        <v>1500.0691035540879</v>
      </c>
      <c r="R572" s="297">
        <f t="shared" si="258"/>
        <v>1629.3225069900657</v>
      </c>
      <c r="S572" s="297">
        <f t="shared" si="258"/>
        <v>1678.6297681374833</v>
      </c>
      <c r="T572" s="297">
        <f t="shared" si="258"/>
        <v>1588.7932970179018</v>
      </c>
      <c r="U572" s="297">
        <f t="shared" si="258"/>
        <v>1648.6743742737667</v>
      </c>
      <c r="V572" s="297">
        <f t="shared" si="258"/>
        <v>1731.8101366918254</v>
      </c>
      <c r="W572" s="297">
        <f t="shared" si="258"/>
        <v>1831.9456148204413</v>
      </c>
      <c r="X572" s="297">
        <f t="shared" si="258"/>
        <v>1848.6464815990032</v>
      </c>
      <c r="Y572" s="297">
        <f t="shared" si="258"/>
        <v>2124.0021706378889</v>
      </c>
      <c r="Z572" s="297">
        <f t="shared" si="258"/>
        <v>2010.3303751757162</v>
      </c>
      <c r="AA572" s="298">
        <f t="shared" si="258"/>
        <v>2086.0990410755899</v>
      </c>
    </row>
    <row r="573" spans="2:27" ht="17" thickBot="1">
      <c r="B573" s="310" t="str">
        <f>+B607</f>
        <v>Caja</v>
      </c>
      <c r="C573" s="299"/>
      <c r="D573" s="299"/>
      <c r="E573" s="299"/>
      <c r="F573" s="313">
        <f>+SUM(G573:AA573)</f>
        <v>24799.80805971006</v>
      </c>
      <c r="G573" s="304">
        <f>+G607+G637+G667+G697+G727+G757+G787+G817+G847+G877+G907+G937+G967+G997+G1027+G1057+G1087+G1117+G1147+G1177+G1207+G1237</f>
        <v>0</v>
      </c>
      <c r="H573" s="304">
        <f t="shared" ref="H573:AA573" si="259">+H607+H637+H667+H697+H727+H757+H787+H817+H847+H877+H907+H937+H967+H997+H1027+H1057+H1087+H1117+H1147+H1177+H1207+H1237</f>
        <v>0</v>
      </c>
      <c r="I573" s="304">
        <f t="shared" si="259"/>
        <v>74.620260000000002</v>
      </c>
      <c r="J573" s="304">
        <f t="shared" si="259"/>
        <v>155.2101408</v>
      </c>
      <c r="K573" s="304">
        <f t="shared" si="259"/>
        <v>319.06438064800005</v>
      </c>
      <c r="L573" s="304">
        <f t="shared" si="259"/>
        <v>491.02426531392007</v>
      </c>
      <c r="M573" s="304">
        <f t="shared" si="259"/>
        <v>768.45632474407694</v>
      </c>
      <c r="N573" s="304">
        <f t="shared" si="259"/>
        <v>980.75414235144012</v>
      </c>
      <c r="O573" s="304">
        <f t="shared" si="259"/>
        <v>1214.154261567814</v>
      </c>
      <c r="P573" s="304">
        <f t="shared" si="259"/>
        <v>1262.7204320305266</v>
      </c>
      <c r="Q573" s="304">
        <f t="shared" si="259"/>
        <v>1410.5785431627255</v>
      </c>
      <c r="R573" s="304">
        <f t="shared" si="259"/>
        <v>1567.1938026120426</v>
      </c>
      <c r="S573" s="304">
        <f t="shared" si="259"/>
        <v>1746.5767235352873</v>
      </c>
      <c r="T573" s="304">
        <f t="shared" si="259"/>
        <v>1471.8164066558415</v>
      </c>
      <c r="U573" s="304">
        <f t="shared" si="259"/>
        <v>1889.0973841757673</v>
      </c>
      <c r="V573" s="304">
        <f t="shared" si="259"/>
        <v>1609.3403768116505</v>
      </c>
      <c r="W573" s="304">
        <f t="shared" si="259"/>
        <v>1677.550638249339</v>
      </c>
      <c r="X573" s="304">
        <f t="shared" si="259"/>
        <v>1699.045092435272</v>
      </c>
      <c r="Y573" s="304">
        <f t="shared" si="259"/>
        <v>2209.9767455516298</v>
      </c>
      <c r="Z573" s="304">
        <f t="shared" si="259"/>
        <v>1862.3172910760795</v>
      </c>
      <c r="AA573" s="305">
        <f t="shared" si="259"/>
        <v>2390.3108479886432</v>
      </c>
    </row>
    <row r="574" spans="2:27" ht="17" thickBot="1">
      <c r="B574" s="309"/>
      <c r="C574" s="83"/>
      <c r="D574" s="83"/>
      <c r="E574" s="83"/>
      <c r="F574" s="309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270"/>
    </row>
    <row r="575" spans="2:27">
      <c r="B575" s="315" t="s">
        <v>11</v>
      </c>
      <c r="C575" s="295"/>
      <c r="D575" s="295"/>
      <c r="E575" s="295"/>
      <c r="F575" s="308"/>
      <c r="G575" s="295"/>
      <c r="H575" s="295"/>
      <c r="I575" s="295"/>
      <c r="J575" s="295"/>
      <c r="K575" s="295"/>
      <c r="L575" s="295"/>
      <c r="M575" s="295"/>
      <c r="N575" s="295"/>
      <c r="O575" s="295"/>
      <c r="P575" s="295"/>
      <c r="Q575" s="295"/>
      <c r="R575" s="295"/>
      <c r="S575" s="295"/>
      <c r="T575" s="295"/>
      <c r="U575" s="295"/>
      <c r="V575" s="295"/>
      <c r="W575" s="295"/>
      <c r="X575" s="295"/>
      <c r="Y575" s="295"/>
      <c r="Z575" s="295"/>
      <c r="AA575" s="296"/>
    </row>
    <row r="576" spans="2:27">
      <c r="B576" s="309" t="s">
        <v>2</v>
      </c>
      <c r="C576" s="83"/>
      <c r="D576" s="83"/>
      <c r="E576" s="83"/>
      <c r="F576" s="312">
        <f>+SUM(G576:AA576)</f>
        <v>10271.483728548592</v>
      </c>
      <c r="G576" s="297">
        <f>+G610+G640+G670+G700+G730+G760+G790+G820+G850+G880+G910+G940+G970+G1000+G1030+G1060+G1090+G1120+G1150+G1180+G1210+G1240</f>
        <v>0</v>
      </c>
      <c r="H576" s="297">
        <f t="shared" ref="H576:AA576" si="260">+H610+H640+H670+H700+H730+H760+H790+H820+H850+H880+H910+H940+H970+H1000+H1030+H1060+H1090+H1120+H1150+H1180+H1210+H1240</f>
        <v>8.9544312000000001</v>
      </c>
      <c r="I576" s="297">
        <f t="shared" si="260"/>
        <v>41.534131229290324</v>
      </c>
      <c r="J576" s="297">
        <f t="shared" si="260"/>
        <v>100.84906937771353</v>
      </c>
      <c r="K576" s="297">
        <f t="shared" si="260"/>
        <v>178.39041297068695</v>
      </c>
      <c r="L576" s="297">
        <f t="shared" si="260"/>
        <v>258.0962069874916</v>
      </c>
      <c r="M576" s="297">
        <f t="shared" si="260"/>
        <v>344.40300158107129</v>
      </c>
      <c r="N576" s="297">
        <f t="shared" si="260"/>
        <v>421.96210516542408</v>
      </c>
      <c r="O576" s="297">
        <f t="shared" si="260"/>
        <v>497.75313018480898</v>
      </c>
      <c r="P576" s="297">
        <f t="shared" si="260"/>
        <v>548.21209186259841</v>
      </c>
      <c r="Q576" s="297">
        <f t="shared" si="260"/>
        <v>600.02764142163505</v>
      </c>
      <c r="R576" s="297">
        <f t="shared" si="260"/>
        <v>651.72900279602607</v>
      </c>
      <c r="S576" s="297">
        <f t="shared" si="260"/>
        <v>671.45190725499322</v>
      </c>
      <c r="T576" s="297">
        <f t="shared" si="260"/>
        <v>635.51731880716068</v>
      </c>
      <c r="U576" s="297">
        <f t="shared" si="260"/>
        <v>659.46974970950657</v>
      </c>
      <c r="V576" s="297">
        <f t="shared" si="260"/>
        <v>692.72405467673013</v>
      </c>
      <c r="W576" s="297">
        <f t="shared" si="260"/>
        <v>732.77824592817637</v>
      </c>
      <c r="X576" s="297">
        <f t="shared" si="260"/>
        <v>739.45859263960119</v>
      </c>
      <c r="Y576" s="297">
        <f t="shared" si="260"/>
        <v>849.60086825515532</v>
      </c>
      <c r="Z576" s="297">
        <f t="shared" si="260"/>
        <v>804.13215007028623</v>
      </c>
      <c r="AA576" s="298">
        <f t="shared" si="260"/>
        <v>834.43961643023579</v>
      </c>
    </row>
    <row r="577" spans="2:27" ht="17" thickBot="1">
      <c r="B577" s="310" t="s">
        <v>5</v>
      </c>
      <c r="C577" s="299"/>
      <c r="D577" s="299"/>
      <c r="E577" s="299"/>
      <c r="F577" s="313">
        <f>+SUM(G577:AA577)</f>
        <v>9919.9232238840214</v>
      </c>
      <c r="G577" s="304">
        <f>+G611+G641+G671+G701+G731+G761+G791+G821+G851+G881+G911+G941+G971+G1001+G1031+G1061+G1091+G1121+G1151+G1181+G1211+G1241</f>
        <v>0</v>
      </c>
      <c r="H577" s="304">
        <f t="shared" ref="H577:AA577" si="261">+H611+H641+H671+H701+H731+H761+H791+H821+H851+H881+H911+H941+H971+H1001+H1031+H1061+H1091+H1121+H1151+H1181+H1211+H1241</f>
        <v>0</v>
      </c>
      <c r="I577" s="304">
        <f t="shared" si="261"/>
        <v>29.848103999999999</v>
      </c>
      <c r="J577" s="304">
        <f t="shared" si="261"/>
        <v>62.084056320000002</v>
      </c>
      <c r="K577" s="304">
        <f t="shared" si="261"/>
        <v>127.6257522592</v>
      </c>
      <c r="L577" s="304">
        <f t="shared" si="261"/>
        <v>196.40970612556799</v>
      </c>
      <c r="M577" s="304">
        <f t="shared" si="261"/>
        <v>307.38252989763077</v>
      </c>
      <c r="N577" s="304">
        <f t="shared" si="261"/>
        <v>392.30165694057598</v>
      </c>
      <c r="O577" s="304">
        <f t="shared" si="261"/>
        <v>485.66170462712557</v>
      </c>
      <c r="P577" s="304">
        <f t="shared" si="261"/>
        <v>505.08817281221064</v>
      </c>
      <c r="Q577" s="304">
        <f t="shared" si="261"/>
        <v>564.23141726509016</v>
      </c>
      <c r="R577" s="304">
        <f t="shared" si="261"/>
        <v>626.87752104481706</v>
      </c>
      <c r="S577" s="304">
        <f t="shared" si="261"/>
        <v>698.63068941411495</v>
      </c>
      <c r="T577" s="304">
        <f t="shared" si="261"/>
        <v>588.72656266233662</v>
      </c>
      <c r="U577" s="304">
        <f t="shared" si="261"/>
        <v>755.63895367030682</v>
      </c>
      <c r="V577" s="304">
        <f t="shared" si="261"/>
        <v>643.73615072466009</v>
      </c>
      <c r="W577" s="304">
        <f t="shared" si="261"/>
        <v>671.02025529973548</v>
      </c>
      <c r="X577" s="304">
        <f t="shared" si="261"/>
        <v>679.61803697410892</v>
      </c>
      <c r="Y577" s="304">
        <f t="shared" si="261"/>
        <v>883.99069822065201</v>
      </c>
      <c r="Z577" s="304">
        <f t="shared" si="261"/>
        <v>744.92691643043179</v>
      </c>
      <c r="AA577" s="305">
        <f t="shared" si="261"/>
        <v>956.1243391954572</v>
      </c>
    </row>
    <row r="578" spans="2:27" ht="17" thickBot="1">
      <c r="B578" s="309"/>
      <c r="C578" s="83"/>
      <c r="D578" s="83"/>
      <c r="E578" s="83"/>
      <c r="F578" s="309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270"/>
    </row>
    <row r="579" spans="2:27">
      <c r="B579" s="315" t="s">
        <v>270</v>
      </c>
      <c r="C579" s="295"/>
      <c r="D579" s="295"/>
      <c r="E579" s="295"/>
      <c r="F579" s="308"/>
      <c r="G579" s="295"/>
      <c r="H579" s="295"/>
      <c r="I579" s="295"/>
      <c r="J579" s="295"/>
      <c r="K579" s="295"/>
      <c r="L579" s="295"/>
      <c r="M579" s="295"/>
      <c r="N579" s="295"/>
      <c r="O579" s="295"/>
      <c r="P579" s="295"/>
      <c r="Q579" s="295"/>
      <c r="R579" s="295"/>
      <c r="S579" s="295"/>
      <c r="T579" s="295"/>
      <c r="U579" s="295"/>
      <c r="V579" s="295"/>
      <c r="W579" s="295"/>
      <c r="X579" s="295"/>
      <c r="Y579" s="295"/>
      <c r="Z579" s="295"/>
      <c r="AA579" s="296"/>
    </row>
    <row r="580" spans="2:27">
      <c r="B580" s="309" t="s">
        <v>2</v>
      </c>
      <c r="C580" s="83"/>
      <c r="D580" s="83"/>
      <c r="E580" s="83"/>
      <c r="F580" s="312">
        <f>+SUM(G580:AA580)</f>
        <v>2747621.8973867483</v>
      </c>
      <c r="G580" s="297">
        <f>+G614+G644+G674+G704+G734+G764+G794+G824+G854+G884+G914+G944+G974+G1004+G1034+G1064+G1094+G1124+G1154+G1184+G1214+G1244</f>
        <v>0</v>
      </c>
      <c r="H580" s="297">
        <f t="shared" ref="H580:AA580" si="262">+H614+H644+H674+H704+H734+H764+H794+H824+H854+H884+H914+H944+H974+H1004+H1034+H1064+H1094+H1124+H1154+H1184+H1214+H1244</f>
        <v>2395.3103459999998</v>
      </c>
      <c r="I580" s="297">
        <f t="shared" si="262"/>
        <v>11110.380103835159</v>
      </c>
      <c r="J580" s="297">
        <f t="shared" si="262"/>
        <v>26977.126058538372</v>
      </c>
      <c r="K580" s="297">
        <f t="shared" si="262"/>
        <v>47719.435469658769</v>
      </c>
      <c r="L580" s="297">
        <f t="shared" si="262"/>
        <v>69040.735369154019</v>
      </c>
      <c r="M580" s="297">
        <f t="shared" si="262"/>
        <v>92127.802922936578</v>
      </c>
      <c r="N580" s="297">
        <f t="shared" si="262"/>
        <v>112874.86313175096</v>
      </c>
      <c r="O580" s="297">
        <f t="shared" si="262"/>
        <v>133148.9623244364</v>
      </c>
      <c r="P580" s="297">
        <f t="shared" si="262"/>
        <v>146646.73457324508</v>
      </c>
      <c r="Q580" s="297">
        <f t="shared" si="262"/>
        <v>160507.39408028737</v>
      </c>
      <c r="R580" s="297">
        <f t="shared" si="262"/>
        <v>174337.50824793696</v>
      </c>
      <c r="S580" s="297">
        <f t="shared" si="262"/>
        <v>179613.38519071069</v>
      </c>
      <c r="T580" s="297">
        <f t="shared" si="262"/>
        <v>170000.88278091548</v>
      </c>
      <c r="U580" s="297">
        <f t="shared" si="262"/>
        <v>176408.15804729299</v>
      </c>
      <c r="V580" s="297">
        <f t="shared" si="262"/>
        <v>185303.68462602529</v>
      </c>
      <c r="W580" s="297">
        <f t="shared" si="262"/>
        <v>196018.18078578718</v>
      </c>
      <c r="X580" s="297">
        <f t="shared" si="262"/>
        <v>197805.17353109331</v>
      </c>
      <c r="Y580" s="297">
        <f t="shared" si="262"/>
        <v>227268.23225825405</v>
      </c>
      <c r="Z580" s="297">
        <f t="shared" si="262"/>
        <v>215105.35014380157</v>
      </c>
      <c r="AA580" s="298">
        <f t="shared" si="262"/>
        <v>223212.59739508806</v>
      </c>
    </row>
    <row r="581" spans="2:27">
      <c r="B581" s="309" t="s">
        <v>246</v>
      </c>
      <c r="C581" s="83"/>
      <c r="D581" s="83"/>
      <c r="E581" s="83"/>
      <c r="F581" s="312">
        <f>+SUM(G581:AA581)</f>
        <v>179750.96524960027</v>
      </c>
      <c r="G581" s="297">
        <f>+G615+G645+G675+G705+G735+G765+G795+G825+G855+G885+G915+G945+G975+G1005+G1035+G1065+G1095+G1125+G1155+G1185+G1215+G1245</f>
        <v>0</v>
      </c>
      <c r="H581" s="297">
        <f t="shared" ref="H581:AA581" si="263">+H615+H645+H675+H705+H735+H765+H795+H825+H855+H885+H915+H945+H975+H1005+H1035+H1065+H1095+H1125+H1155+H1185+H1215+H1245</f>
        <v>156.70254599999998</v>
      </c>
      <c r="I581" s="297">
        <f t="shared" si="263"/>
        <v>726.84729651258021</v>
      </c>
      <c r="J581" s="297">
        <f t="shared" si="263"/>
        <v>1764.8587141099861</v>
      </c>
      <c r="K581" s="297">
        <f t="shared" si="263"/>
        <v>3121.8322269870205</v>
      </c>
      <c r="L581" s="297">
        <f t="shared" si="263"/>
        <v>4516.6836222811007</v>
      </c>
      <c r="M581" s="297">
        <f t="shared" si="263"/>
        <v>6027.0525276687449</v>
      </c>
      <c r="N581" s="297">
        <f t="shared" si="263"/>
        <v>7384.3368403949198</v>
      </c>
      <c r="O581" s="297">
        <f t="shared" si="263"/>
        <v>8710.6797782341546</v>
      </c>
      <c r="P581" s="297">
        <f t="shared" si="263"/>
        <v>9593.7116075954691</v>
      </c>
      <c r="Q581" s="297">
        <f t="shared" si="263"/>
        <v>10500.48372487861</v>
      </c>
      <c r="R581" s="297">
        <f t="shared" si="263"/>
        <v>11405.257548930453</v>
      </c>
      <c r="S581" s="297">
        <f t="shared" si="263"/>
        <v>11750.408376962378</v>
      </c>
      <c r="T581" s="297">
        <f t="shared" si="263"/>
        <v>11121.553079125308</v>
      </c>
      <c r="U581" s="297">
        <f t="shared" si="263"/>
        <v>11540.720619916361</v>
      </c>
      <c r="V581" s="297">
        <f t="shared" si="263"/>
        <v>12122.67095684277</v>
      </c>
      <c r="W581" s="297">
        <f t="shared" si="263"/>
        <v>12823.619303743088</v>
      </c>
      <c r="X581" s="297">
        <f t="shared" si="263"/>
        <v>12940.525371193011</v>
      </c>
      <c r="Y581" s="297">
        <f t="shared" si="263"/>
        <v>14868.015194465215</v>
      </c>
      <c r="Z581" s="297">
        <f t="shared" si="263"/>
        <v>14072.312626230007</v>
      </c>
      <c r="AA581" s="298">
        <f t="shared" si="263"/>
        <v>14602.693287529122</v>
      </c>
    </row>
    <row r="582" spans="2:27" ht="17" thickBot="1">
      <c r="B582" s="310" t="s">
        <v>5</v>
      </c>
      <c r="C582" s="299"/>
      <c r="D582" s="299"/>
      <c r="E582" s="299"/>
      <c r="F582" s="313">
        <f>+SUM(G582:AA582)</f>
        <v>167768.80987919113</v>
      </c>
      <c r="G582" s="304">
        <f>+G616+G646+G676+G706+G736+G766+G796+G826+G856+G886+G916+G946+G976+G1006+G1036+G1066+G1096+G1126+G1156+G1186+G1216+G1246</f>
        <v>0</v>
      </c>
      <c r="H582" s="304">
        <f t="shared" ref="H582:AA582" si="264">+H616+H646+H676+H706+H736+H766+H796+H826+H856+H886+H916+H946+H976+H1006+H1036+H1066+H1096+H1126+H1156+H1186+H1216+H1246</f>
        <v>0</v>
      </c>
      <c r="I582" s="304">
        <f t="shared" si="264"/>
        <v>0</v>
      </c>
      <c r="J582" s="304">
        <f t="shared" si="264"/>
        <v>522.34181999999964</v>
      </c>
      <c r="K582" s="304">
        <f t="shared" si="264"/>
        <v>1625.0269125999987</v>
      </c>
      <c r="L582" s="304">
        <f t="shared" si="264"/>
        <v>3147.660866895998</v>
      </c>
      <c r="M582" s="304">
        <f t="shared" si="264"/>
        <v>5069.2363952630367</v>
      </c>
      <c r="N582" s="304">
        <f t="shared" si="264"/>
        <v>6533.6995342434775</v>
      </c>
      <c r="O582" s="304">
        <f t="shared" si="264"/>
        <v>7733.1131492528957</v>
      </c>
      <c r="P582" s="304">
        <f t="shared" si="264"/>
        <v>8703.3667142248269</v>
      </c>
      <c r="Q582" s="304">
        <f t="shared" si="264"/>
        <v>9732.9464397506636</v>
      </c>
      <c r="R582" s="304">
        <f t="shared" si="264"/>
        <v>10543.071191776484</v>
      </c>
      <c r="S582" s="304">
        <f t="shared" si="264"/>
        <v>12062.198150802746</v>
      </c>
      <c r="T582" s="304">
        <f t="shared" si="264"/>
        <v>12544.686076834856</v>
      </c>
      <c r="U582" s="304">
        <f t="shared" si="264"/>
        <v>10634.109819162251</v>
      </c>
      <c r="V582" s="304">
        <f t="shared" si="264"/>
        <v>11081.086141586553</v>
      </c>
      <c r="W582" s="304">
        <f t="shared" si="264"/>
        <v>12575.137970737047</v>
      </c>
      <c r="X582" s="304">
        <f t="shared" si="264"/>
        <v>10670.028697940077</v>
      </c>
      <c r="Y582" s="304">
        <f t="shared" si="264"/>
        <v>15262.528725078002</v>
      </c>
      <c r="Z582" s="304">
        <f t="shared" si="264"/>
        <v>15873.029874081121</v>
      </c>
      <c r="AA582" s="305">
        <f t="shared" si="264"/>
        <v>13455.541398961059</v>
      </c>
    </row>
    <row r="583" spans="2:27" ht="17" thickBot="1">
      <c r="B583" s="309"/>
      <c r="C583" s="83"/>
      <c r="D583" s="83"/>
      <c r="E583" s="83"/>
      <c r="F583" s="309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270"/>
    </row>
    <row r="584" spans="2:27">
      <c r="B584" s="315" t="s">
        <v>10</v>
      </c>
      <c r="C584" s="295"/>
      <c r="D584" s="295"/>
      <c r="E584" s="295"/>
      <c r="F584" s="308"/>
      <c r="G584" s="295"/>
      <c r="H584" s="295"/>
      <c r="I584" s="295"/>
      <c r="J584" s="295"/>
      <c r="K584" s="295"/>
      <c r="L584" s="295"/>
      <c r="M584" s="295"/>
      <c r="N584" s="295"/>
      <c r="O584" s="295"/>
      <c r="P584" s="295"/>
      <c r="Q584" s="295"/>
      <c r="R584" s="295"/>
      <c r="S584" s="295"/>
      <c r="T584" s="295"/>
      <c r="U584" s="295"/>
      <c r="V584" s="295"/>
      <c r="W584" s="295"/>
      <c r="X584" s="295"/>
      <c r="Y584" s="295"/>
      <c r="Z584" s="295"/>
      <c r="AA584" s="296"/>
    </row>
    <row r="585" spans="2:27">
      <c r="B585" s="309" t="s">
        <v>2</v>
      </c>
      <c r="C585" s="83"/>
      <c r="D585" s="83"/>
      <c r="E585" s="83"/>
      <c r="F585" s="312">
        <f>+SUM(G585:AA585)</f>
        <v>1476082.1828846466</v>
      </c>
      <c r="G585" s="297">
        <f>+G619+G649+G679+G709+G739+G769+G799+G829+G859+G889+G919+G949+G979+G1009+G1039+G1069+G1099+G1129+G1159+G1189+G1219+G1249</f>
        <v>0</v>
      </c>
      <c r="H585" s="297">
        <f t="shared" ref="H585:AA585" si="265">+H619+H649+H679+H709+H739+H769+H799+H829+H859+H889+H919+H949+H979+H1009+H1039+H1069+H1099+H1129+H1159+H1189+H1219+H1249</f>
        <v>1314.8843993999999</v>
      </c>
      <c r="I585" s="297">
        <f t="shared" si="265"/>
        <v>6094.600063287774</v>
      </c>
      <c r="J585" s="297">
        <f t="shared" si="265"/>
        <v>14747.766774566757</v>
      </c>
      <c r="K585" s="297">
        <f t="shared" si="265"/>
        <v>25980.904253325116</v>
      </c>
      <c r="L585" s="297">
        <f t="shared" si="265"/>
        <v>37410.327419696805</v>
      </c>
      <c r="M585" s="297">
        <f t="shared" si="265"/>
        <v>49667.020481818632</v>
      </c>
      <c r="N585" s="297">
        <f t="shared" si="265"/>
        <v>60709.998131281129</v>
      </c>
      <c r="O585" s="297">
        <f t="shared" si="265"/>
        <v>71590.171274498658</v>
      </c>
      <c r="P585" s="297">
        <f t="shared" si="265"/>
        <v>78873.762189534609</v>
      </c>
      <c r="Q585" s="297">
        <f t="shared" si="265"/>
        <v>86301.106522598639</v>
      </c>
      <c r="R585" s="297">
        <f t="shared" si="265"/>
        <v>93676.107632588304</v>
      </c>
      <c r="S585" s="297">
        <f t="shared" si="265"/>
        <v>96264.830149321991</v>
      </c>
      <c r="T585" s="297">
        <f t="shared" si="265"/>
        <v>90914.903572338124</v>
      </c>
      <c r="U585" s="297">
        <f t="shared" si="265"/>
        <v>94555.418505070236</v>
      </c>
      <c r="V585" s="297">
        <f t="shared" si="265"/>
        <v>99521.643821463935</v>
      </c>
      <c r="W585" s="297">
        <f t="shared" si="265"/>
        <v>105401.70262661554</v>
      </c>
      <c r="X585" s="297">
        <f t="shared" si="265"/>
        <v>106572.18877589286</v>
      </c>
      <c r="Y585" s="297">
        <f t="shared" si="265"/>
        <v>121805.72040022429</v>
      </c>
      <c r="Z585" s="297">
        <f t="shared" si="265"/>
        <v>115036.35655480938</v>
      </c>
      <c r="AA585" s="298">
        <f t="shared" si="265"/>
        <v>119642.769336314</v>
      </c>
    </row>
    <row r="586" spans="2:27">
      <c r="B586" s="309" t="s">
        <v>246</v>
      </c>
      <c r="C586" s="83"/>
      <c r="D586" s="83"/>
      <c r="E586" s="83"/>
      <c r="F586" s="312">
        <f>+SUM(G586:AA586)</f>
        <v>310022.36158951442</v>
      </c>
      <c r="G586" s="297">
        <f>+G620+G650+G680+G710+G740+G770+G800+G830+G860+G890+G920+G950+G980+G1010+G1040+G1070+G1100+G1130+G1160+G1190+G1220+G1250</f>
        <v>0</v>
      </c>
      <c r="H586" s="297">
        <f t="shared" ref="H586:AA586" si="266">+H620+H650+H680+H710+H740+H770+H800+H830+H860+H890+H920+H950+H980+H1010+H1040+H1070+H1100+H1130+H1160+H1190+H1220+H1250</f>
        <v>270.27000000000021</v>
      </c>
      <c r="I586" s="297">
        <f t="shared" si="266"/>
        <v>1253.6172758064527</v>
      </c>
      <c r="J586" s="297">
        <f t="shared" si="266"/>
        <v>3043.9094758709693</v>
      </c>
      <c r="K586" s="297">
        <f t="shared" si="266"/>
        <v>5384.3260210193575</v>
      </c>
      <c r="L586" s="297">
        <f t="shared" si="266"/>
        <v>7790.0717873078756</v>
      </c>
      <c r="M586" s="297">
        <f t="shared" si="266"/>
        <v>10395.054376800192</v>
      </c>
      <c r="N586" s="297">
        <f t="shared" si="266"/>
        <v>12736.006968601116</v>
      </c>
      <c r="O586" s="297">
        <f t="shared" si="266"/>
        <v>15023.593960390072</v>
      </c>
      <c r="P586" s="297">
        <f t="shared" si="266"/>
        <v>16546.587801992893</v>
      </c>
      <c r="Q586" s="297">
        <f t="shared" si="266"/>
        <v>18110.527293685096</v>
      </c>
      <c r="R586" s="297">
        <f t="shared" si="266"/>
        <v>19671.020263764163</v>
      </c>
      <c r="S586" s="297">
        <f t="shared" si="266"/>
        <v>20266.313171718502</v>
      </c>
      <c r="T586" s="297">
        <f t="shared" si="266"/>
        <v>19181.705897077125</v>
      </c>
      <c r="U586" s="297">
        <f t="shared" si="266"/>
        <v>19904.657847389397</v>
      </c>
      <c r="V586" s="297">
        <f t="shared" si="266"/>
        <v>20908.366603730225</v>
      </c>
      <c r="W586" s="297">
        <f t="shared" si="266"/>
        <v>22117.315115113986</v>
      </c>
      <c r="X586" s="297">
        <f t="shared" si="266"/>
        <v>22318.946828549553</v>
      </c>
      <c r="Y586" s="297">
        <f t="shared" si="266"/>
        <v>25643.351490971414</v>
      </c>
      <c r="Z586" s="297">
        <f t="shared" si="266"/>
        <v>24270.977278768572</v>
      </c>
      <c r="AA586" s="298">
        <f t="shared" si="266"/>
        <v>25185.742130957464</v>
      </c>
    </row>
    <row r="587" spans="2:27" ht="17" thickBot="1">
      <c r="B587" s="310" t="s">
        <v>5</v>
      </c>
      <c r="C587" s="299"/>
      <c r="D587" s="299"/>
      <c r="E587" s="299"/>
      <c r="F587" s="313">
        <f>+SUM(G587:AA587)</f>
        <v>289356.34680784977</v>
      </c>
      <c r="G587" s="304">
        <f>+G621+G651+G681+G711+G741+G771+G801+G831+G861+G891+G921+G951+G981+G1011+G1041+G1071+G1101+G1131+G1161+G1191+G1221+G1251</f>
        <v>0</v>
      </c>
      <c r="H587" s="304">
        <f t="shared" ref="H587:AA587" si="267">+H621+H651+H681+H711+H741+H771+H801+H831+H861+H891+H921+H951+H981+H1011+H1041+H1071+H1101+H1131+H1161+H1191+H1221+H1251</f>
        <v>0</v>
      </c>
      <c r="I587" s="304">
        <f t="shared" si="267"/>
        <v>0</v>
      </c>
      <c r="J587" s="304">
        <f t="shared" si="267"/>
        <v>900.90000000000055</v>
      </c>
      <c r="K587" s="304">
        <f t="shared" si="267"/>
        <v>2802.7370000000014</v>
      </c>
      <c r="L587" s="304">
        <f t="shared" si="267"/>
        <v>5428.8735200000028</v>
      </c>
      <c r="M587" s="304">
        <f t="shared" si="267"/>
        <v>8743.0776048000043</v>
      </c>
      <c r="N587" s="304">
        <f t="shared" si="267"/>
        <v>11268.885019392004</v>
      </c>
      <c r="O587" s="304">
        <f t="shared" si="267"/>
        <v>13337.552861767686</v>
      </c>
      <c r="P587" s="304">
        <f t="shared" si="267"/>
        <v>15010.980880001443</v>
      </c>
      <c r="Q587" s="304">
        <f t="shared" si="267"/>
        <v>16786.730665316791</v>
      </c>
      <c r="R587" s="304">
        <f t="shared" si="267"/>
        <v>18183.979289024654</v>
      </c>
      <c r="S587" s="304">
        <f t="shared" si="267"/>
        <v>20804.067179721907</v>
      </c>
      <c r="T587" s="304">
        <f t="shared" si="267"/>
        <v>21636.22986691078</v>
      </c>
      <c r="U587" s="304">
        <f t="shared" si="267"/>
        <v>18340.996583584445</v>
      </c>
      <c r="V587" s="304">
        <f t="shared" si="267"/>
        <v>19111.911247993386</v>
      </c>
      <c r="W587" s="304">
        <f t="shared" si="267"/>
        <v>21688.751243078761</v>
      </c>
      <c r="X587" s="304">
        <f t="shared" si="267"/>
        <v>18402.947047154339</v>
      </c>
      <c r="Y587" s="304">
        <f t="shared" si="267"/>
        <v>26323.78186457057</v>
      </c>
      <c r="Z587" s="304">
        <f t="shared" si="267"/>
        <v>27376.733139153395</v>
      </c>
      <c r="AA587" s="305">
        <f t="shared" si="267"/>
        <v>23207.211795379571</v>
      </c>
    </row>
    <row r="588" spans="2:27" ht="17" thickBot="1">
      <c r="B588" s="309"/>
      <c r="C588" s="83"/>
      <c r="D588" s="83"/>
      <c r="E588" s="83"/>
      <c r="F588" s="309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270"/>
    </row>
    <row r="589" spans="2:27">
      <c r="B589" s="315" t="s">
        <v>271</v>
      </c>
      <c r="C589" s="295"/>
      <c r="D589" s="295"/>
      <c r="E589" s="295"/>
      <c r="F589" s="308"/>
      <c r="G589" s="295"/>
      <c r="H589" s="295"/>
      <c r="I589" s="295"/>
      <c r="J589" s="295"/>
      <c r="K589" s="295"/>
      <c r="L589" s="295"/>
      <c r="M589" s="295"/>
      <c r="N589" s="295"/>
      <c r="O589" s="295"/>
      <c r="P589" s="295"/>
      <c r="Q589" s="295"/>
      <c r="R589" s="295"/>
      <c r="S589" s="295"/>
      <c r="T589" s="295"/>
      <c r="U589" s="295"/>
      <c r="V589" s="295"/>
      <c r="W589" s="295"/>
      <c r="X589" s="295"/>
      <c r="Y589" s="295"/>
      <c r="Z589" s="295"/>
      <c r="AA589" s="296"/>
    </row>
    <row r="590" spans="2:27">
      <c r="B590" s="309" t="s">
        <v>2</v>
      </c>
      <c r="C590" s="83"/>
      <c r="D590" s="83"/>
      <c r="E590" s="83"/>
      <c r="F590" s="312">
        <f>+SUM(G590:AA590)</f>
        <v>187211.70305384859</v>
      </c>
      <c r="G590" s="297">
        <f>+G624+G654+G684+G714+G744+G774+G804+G834+G864+G894+G924+G954+G984+G1014+G1044+G1074+G1104+G1134+G1164+G1194+G1224+G1254</f>
        <v>0</v>
      </c>
      <c r="H590" s="297">
        <f t="shared" ref="H590:AA590" si="268">+H624+H654+H684+H714+H744+H774+H804+H834+H864+H894+H924+H954+H984+H1014+H1044+H1074+H1104+H1134+H1164+H1194+H1224+H1254</f>
        <v>135.13500000000002</v>
      </c>
      <c r="I590" s="297">
        <f t="shared" si="268"/>
        <v>631.15332903225817</v>
      </c>
      <c r="J590" s="297">
        <f t="shared" si="268"/>
        <v>1583.0423793548389</v>
      </c>
      <c r="K590" s="297">
        <f t="shared" si="268"/>
        <v>2906.4202117367749</v>
      </c>
      <c r="L590" s="297">
        <f t="shared" si="268"/>
        <v>4384.008667604955</v>
      </c>
      <c r="M590" s="297">
        <f t="shared" si="268"/>
        <v>6103.2481539091532</v>
      </c>
      <c r="N590" s="297">
        <f t="shared" si="268"/>
        <v>7619.6617472299768</v>
      </c>
      <c r="O590" s="297">
        <f t="shared" si="268"/>
        <v>9012.5692859566861</v>
      </c>
      <c r="P590" s="297">
        <f t="shared" si="268"/>
        <v>9899.9578192162226</v>
      </c>
      <c r="Q590" s="297">
        <f t="shared" si="268"/>
        <v>10863.269505841663</v>
      </c>
      <c r="R590" s="297">
        <f t="shared" si="268"/>
        <v>11860.433561212461</v>
      </c>
      <c r="S590" s="297">
        <f t="shared" si="268"/>
        <v>12465.503418249544</v>
      </c>
      <c r="T590" s="297">
        <f t="shared" si="268"/>
        <v>11996.428297078393</v>
      </c>
      <c r="U590" s="297">
        <f t="shared" si="268"/>
        <v>12234.606348350635</v>
      </c>
      <c r="V590" s="297">
        <f t="shared" si="268"/>
        <v>12653.355938686664</v>
      </c>
      <c r="W590" s="297">
        <f t="shared" si="268"/>
        <v>13259.399158851302</v>
      </c>
      <c r="X590" s="297">
        <f t="shared" si="268"/>
        <v>13170.682706602191</v>
      </c>
      <c r="Y590" s="297">
        <f t="shared" si="268"/>
        <v>15772.838550238048</v>
      </c>
      <c r="Z590" s="297">
        <f t="shared" si="268"/>
        <v>15179.308878316879</v>
      </c>
      <c r="AA590" s="298">
        <f t="shared" si="268"/>
        <v>15480.680096379958</v>
      </c>
    </row>
    <row r="591" spans="2:27" ht="17" thickBot="1">
      <c r="B591" s="310" t="s">
        <v>5</v>
      </c>
      <c r="C591" s="299"/>
      <c r="D591" s="299"/>
      <c r="E591" s="299"/>
      <c r="F591" s="313">
        <f>+SUM(G591:AA591)</f>
        <v>155657.53714436051</v>
      </c>
      <c r="G591" s="304">
        <f>+G625+G655+G685+G715+G745+G775+G805+G835+G865+G895+G925+G955+G985+G1015+G1045+G1075+G1105+G1135+G1165+G1195+G1225+G1255</f>
        <v>0</v>
      </c>
      <c r="H591" s="304">
        <f t="shared" ref="H591:AA591" si="269">+H625+H655+H685+H715+H745+H775+H805+H835+H865+H895+H925+H955+H985+H1015+H1045+H1075+H1105+H1135+H1165+H1195+H1225+H1255</f>
        <v>0</v>
      </c>
      <c r="I591" s="304">
        <f t="shared" si="269"/>
        <v>0</v>
      </c>
      <c r="J591" s="304">
        <f t="shared" si="269"/>
        <v>0</v>
      </c>
      <c r="K591" s="304">
        <f t="shared" si="269"/>
        <v>0</v>
      </c>
      <c r="L591" s="304">
        <f t="shared" si="269"/>
        <v>530.78</v>
      </c>
      <c r="M591" s="304">
        <f t="shared" si="269"/>
        <v>2169.0374000000002</v>
      </c>
      <c r="N591" s="304">
        <f t="shared" si="269"/>
        <v>4732.8311439999998</v>
      </c>
      <c r="O591" s="304">
        <f t="shared" si="269"/>
        <v>6901.2026137600005</v>
      </c>
      <c r="P591" s="304">
        <f t="shared" si="269"/>
        <v>8037.4742383104003</v>
      </c>
      <c r="Q591" s="304">
        <f t="shared" si="269"/>
        <v>8358.9732078428169</v>
      </c>
      <c r="R591" s="304">
        <f t="shared" si="269"/>
        <v>9364.9381647938371</v>
      </c>
      <c r="S591" s="304">
        <f t="shared" si="269"/>
        <v>11087.119425869108</v>
      </c>
      <c r="T591" s="304">
        <f t="shared" si="269"/>
        <v>12536.944051289203</v>
      </c>
      <c r="U591" s="304">
        <f t="shared" si="269"/>
        <v>13038.421813340772</v>
      </c>
      <c r="V591" s="304">
        <f t="shared" si="269"/>
        <v>13559.958685874404</v>
      </c>
      <c r="W591" s="304">
        <f t="shared" si="269"/>
        <v>11651.022761276628</v>
      </c>
      <c r="X591" s="304">
        <f t="shared" si="269"/>
        <v>9747.8263292825486</v>
      </c>
      <c r="Y591" s="304">
        <f t="shared" si="269"/>
        <v>11580.01047521106</v>
      </c>
      <c r="Z591" s="304">
        <f t="shared" si="269"/>
        <v>15863.233741916529</v>
      </c>
      <c r="AA591" s="305">
        <f t="shared" si="269"/>
        <v>16497.763091593188</v>
      </c>
    </row>
    <row r="592" spans="2:27" ht="17" thickBot="1">
      <c r="B592" s="309"/>
      <c r="C592" s="83"/>
      <c r="D592" s="83"/>
      <c r="E592" s="83"/>
      <c r="F592" s="309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270"/>
    </row>
    <row r="593" spans="2:30">
      <c r="B593" s="315" t="s">
        <v>272</v>
      </c>
      <c r="C593" s="295"/>
      <c r="D593" s="295"/>
      <c r="E593" s="295"/>
      <c r="F593" s="314">
        <f>+SUM(G593:AA593)</f>
        <v>190429.38493457736</v>
      </c>
      <c r="G593" s="306">
        <f>+G627+G657+G687+G717+G747+G777+G807+G837+G867+G897+G927+G957+G987+G1017+G1047+G1077+G1107+G1137+G1167+G1197+G1227+G1257</f>
        <v>1400</v>
      </c>
      <c r="H593" s="306">
        <f t="shared" ref="H593:AA593" si="270">+H627+H657+H687+H717+H747+H777+H807+H837+H867+H897+H927+H957+H987+H1017+H1047+H1077+H1107+H1137+H1167+H1197+H1227+H1257</f>
        <v>3312</v>
      </c>
      <c r="I593" s="306">
        <f t="shared" si="270"/>
        <v>5374.72</v>
      </c>
      <c r="J593" s="306">
        <f t="shared" si="270"/>
        <v>6022.3488000000007</v>
      </c>
      <c r="K593" s="306">
        <f t="shared" si="270"/>
        <v>6263.242752000001</v>
      </c>
      <c r="L593" s="306">
        <f t="shared" si="270"/>
        <v>6513.7724620800018</v>
      </c>
      <c r="M593" s="306">
        <f t="shared" si="270"/>
        <v>8545.7699864576025</v>
      </c>
      <c r="N593" s="306">
        <f t="shared" si="270"/>
        <v>9393.7283933143062</v>
      </c>
      <c r="O593" s="306">
        <f t="shared" si="270"/>
        <v>9769.4775290468788</v>
      </c>
      <c r="P593" s="306">
        <f t="shared" si="270"/>
        <v>10160.256630208754</v>
      </c>
      <c r="Q593" s="306">
        <f t="shared" si="270"/>
        <v>10566.666895417107</v>
      </c>
      <c r="R593" s="306">
        <f t="shared" si="270"/>
        <v>4523.6265347104609</v>
      </c>
      <c r="S593" s="306">
        <f t="shared" si="270"/>
        <v>9581.5620465050506</v>
      </c>
      <c r="T593" s="306">
        <f t="shared" si="270"/>
        <v>11886.06319064647</v>
      </c>
      <c r="U593" s="306">
        <f t="shared" si="270"/>
        <v>12361.505718272329</v>
      </c>
      <c r="V593" s="306">
        <f t="shared" si="270"/>
        <v>12855.965947003222</v>
      </c>
      <c r="W593" s="306">
        <f t="shared" si="270"/>
        <v>13370.204584883351</v>
      </c>
      <c r="X593" s="306">
        <f t="shared" si="270"/>
        <v>5723.8306869423041</v>
      </c>
      <c r="Y593" s="306">
        <f t="shared" si="270"/>
        <v>12123.732684342298</v>
      </c>
      <c r="Z593" s="306">
        <f t="shared" si="270"/>
        <v>15039.661810170228</v>
      </c>
      <c r="AA593" s="307">
        <f t="shared" si="270"/>
        <v>15641.248282577037</v>
      </c>
    </row>
    <row r="594" spans="2:30" ht="17" thickBot="1">
      <c r="B594" s="316" t="s">
        <v>273</v>
      </c>
      <c r="C594" s="299"/>
      <c r="D594" s="299"/>
      <c r="E594" s="299"/>
      <c r="F594" s="313">
        <f>+SUM(G594:AA594)</f>
        <v>141900.91147054551</v>
      </c>
      <c r="G594" s="304">
        <f>+G628+G658+G688+G718+G748+G778+G808+G838+G868+G898+G928+G958+G988+G1018+G1048+G1078+G1108+G1138+G1168+G1198+G1228+G1258</f>
        <v>0</v>
      </c>
      <c r="H594" s="304">
        <f t="shared" ref="H594:AA595" si="271">+H628+H658+H688+H718+H748+H778+H808+H838+H868+H898+H928+H958+H988+H1018+H1048+H1078+H1108+H1138+H1168+H1198+H1228+H1258</f>
        <v>0</v>
      </c>
      <c r="I594" s="304">
        <f t="shared" si="271"/>
        <v>0</v>
      </c>
      <c r="J594" s="304">
        <f t="shared" si="271"/>
        <v>0</v>
      </c>
      <c r="K594" s="304">
        <f t="shared" si="271"/>
        <v>1400</v>
      </c>
      <c r="L594" s="304">
        <f t="shared" si="271"/>
        <v>3312</v>
      </c>
      <c r="M594" s="304">
        <f t="shared" si="271"/>
        <v>5374.72</v>
      </c>
      <c r="N594" s="304">
        <f t="shared" si="271"/>
        <v>6022.3488000000007</v>
      </c>
      <c r="O594" s="304">
        <f t="shared" si="271"/>
        <v>6263.242752000001</v>
      </c>
      <c r="P594" s="304">
        <f t="shared" si="271"/>
        <v>6513.7724620800018</v>
      </c>
      <c r="Q594" s="304">
        <f t="shared" si="271"/>
        <v>8545.7699864576025</v>
      </c>
      <c r="R594" s="304">
        <f t="shared" si="271"/>
        <v>9393.7283933143062</v>
      </c>
      <c r="S594" s="304">
        <f t="shared" si="271"/>
        <v>9769.4775290468788</v>
      </c>
      <c r="T594" s="304">
        <f t="shared" si="271"/>
        <v>10160.256630208754</v>
      </c>
      <c r="U594" s="304">
        <f t="shared" si="271"/>
        <v>10566.666895417107</v>
      </c>
      <c r="V594" s="304">
        <f t="shared" si="271"/>
        <v>4523.6265347104609</v>
      </c>
      <c r="W594" s="304">
        <f t="shared" si="271"/>
        <v>9581.5620465050506</v>
      </c>
      <c r="X594" s="304">
        <f t="shared" si="271"/>
        <v>11886.06319064647</v>
      </c>
      <c r="Y594" s="304">
        <f t="shared" si="271"/>
        <v>12361.505718272329</v>
      </c>
      <c r="Z594" s="304">
        <f t="shared" si="271"/>
        <v>12855.965947003222</v>
      </c>
      <c r="AA594" s="305">
        <f t="shared" si="271"/>
        <v>13370.204584883351</v>
      </c>
    </row>
    <row r="595" spans="2:30" ht="17" thickBot="1">
      <c r="B595" s="309" t="str">
        <f>+B629</f>
        <v>Escrituración</v>
      </c>
      <c r="C595" s="83"/>
      <c r="D595" s="83"/>
      <c r="E595" s="83"/>
      <c r="F595" s="313">
        <f>+SUM(G595:AA595)</f>
        <v>4189951.4721500734</v>
      </c>
      <c r="G595" s="304">
        <f>+G629+G659+G689+G719+G749+G779+G809+G839+G869+G899+G929+G959+G989+G1019+G1049+G1079+G1109+G1139+G1169+G1199+G1229+G1259</f>
        <v>0</v>
      </c>
      <c r="H595" s="304">
        <f t="shared" si="271"/>
        <v>0</v>
      </c>
      <c r="I595" s="304">
        <f t="shared" si="271"/>
        <v>0</v>
      </c>
      <c r="J595" s="304">
        <f t="shared" si="271"/>
        <v>12922.234182</v>
      </c>
      <c r="K595" s="304">
        <f t="shared" si="271"/>
        <v>40201.602691260006</v>
      </c>
      <c r="L595" s="304">
        <f t="shared" si="271"/>
        <v>83355.073406769603</v>
      </c>
      <c r="M595" s="304">
        <f t="shared" si="271"/>
        <v>131331.80130521272</v>
      </c>
      <c r="N595" s="304">
        <f t="shared" si="271"/>
        <v>168026.33625265356</v>
      </c>
      <c r="O595" s="304">
        <f t="shared" si="271"/>
        <v>192021.68616632515</v>
      </c>
      <c r="P595" s="304">
        <f t="shared" si="271"/>
        <v>216053.30228492187</v>
      </c>
      <c r="Q595" s="304">
        <f t="shared" si="271"/>
        <v>241553.72959794709</v>
      </c>
      <c r="R595" s="304">
        <f t="shared" si="271"/>
        <v>268566.47509987082</v>
      </c>
      <c r="S595" s="304">
        <f t="shared" si="271"/>
        <v>299517.61768974544</v>
      </c>
      <c r="T595" s="304">
        <f t="shared" si="271"/>
        <v>311498.32239733532</v>
      </c>
      <c r="U595" s="304">
        <f t="shared" si="271"/>
        <v>264278.69780882896</v>
      </c>
      <c r="V595" s="304">
        <f t="shared" si="271"/>
        <v>275384.50407222728</v>
      </c>
      <c r="W595" s="304">
        <f t="shared" si="271"/>
        <v>287064.28881913854</v>
      </c>
      <c r="X595" s="304">
        <f t="shared" si="271"/>
        <v>290648.84825857228</v>
      </c>
      <c r="Y595" s="304">
        <f t="shared" si="271"/>
        <v>378985.33803744905</v>
      </c>
      <c r="Z595" s="304">
        <f t="shared" si="271"/>
        <v>394144.75155894697</v>
      </c>
      <c r="AA595" s="305">
        <f t="shared" si="271"/>
        <v>334396.86252086854</v>
      </c>
    </row>
    <row r="596" spans="2:30">
      <c r="B596" s="315" t="str">
        <f>+B630</f>
        <v>Abono al credito Constructor</v>
      </c>
      <c r="C596" s="295"/>
      <c r="D596" s="295"/>
      <c r="E596" s="295"/>
      <c r="F596" s="308"/>
      <c r="G596" s="306">
        <f>+G630+G660+G690+G720+G750+G780+G810+G840+G870+G900+G930+G960+G990+G1020+G1050+G1080+G1110+G1140+G1170+G1200+G1230+G1260</f>
        <v>0</v>
      </c>
      <c r="H596" s="306">
        <f t="shared" ref="H596:AA596" si="272">+H630+H660+H690+H720+H750+H780+H810+H840+H870+H900+H930+H960+H990+H1020+H1050+H1080+H1110+H1140+H1170+H1200+H1230+H1260</f>
        <v>0</v>
      </c>
      <c r="I596" s="306">
        <f t="shared" si="272"/>
        <v>0</v>
      </c>
      <c r="J596" s="306">
        <f>+J630+J660+J690+J720+J750+J780+J810+J840+J870+J900+J930+J960+J990+J1020+J1050+J1080+J1110+J1140+J1170+J1200+J1230+J1260</f>
        <v>8365.5</v>
      </c>
      <c r="K596" s="306">
        <f t="shared" si="272"/>
        <v>26025.415000000001</v>
      </c>
      <c r="L596" s="306">
        <f t="shared" si="272"/>
        <v>53961.788400000005</v>
      </c>
      <c r="M596" s="306">
        <f t="shared" si="272"/>
        <v>85020.606216000015</v>
      </c>
      <c r="N596" s="306">
        <f t="shared" si="272"/>
        <v>108775.64174464002</v>
      </c>
      <c r="O596" s="306">
        <f t="shared" si="272"/>
        <v>124309.57317442562</v>
      </c>
      <c r="P596" s="306">
        <f t="shared" si="272"/>
        <v>139866.98235063095</v>
      </c>
      <c r="Q596" s="306">
        <f t="shared" si="272"/>
        <v>156375.25961001244</v>
      </c>
      <c r="R596" s="306">
        <f t="shared" si="272"/>
        <v>173862.57018755286</v>
      </c>
      <c r="S596" s="306">
        <f t="shared" si="272"/>
        <v>193899.49102406431</v>
      </c>
      <c r="T596" s="306">
        <f t="shared" si="272"/>
        <v>201655.47066502689</v>
      </c>
      <c r="U596" s="306">
        <f t="shared" si="272"/>
        <v>171086.78076731661</v>
      </c>
      <c r="V596" s="306">
        <f t="shared" si="272"/>
        <v>178276.37515076087</v>
      </c>
      <c r="W596" s="306">
        <f t="shared" si="272"/>
        <v>185837.54746230954</v>
      </c>
      <c r="X596" s="306">
        <f t="shared" si="272"/>
        <v>188158.09293209782</v>
      </c>
      <c r="Y596" s="306">
        <f t="shared" si="272"/>
        <v>245344.71366944304</v>
      </c>
      <c r="Z596" s="306">
        <f t="shared" si="272"/>
        <v>255158.50221622078</v>
      </c>
      <c r="AA596" s="307">
        <f t="shared" si="272"/>
        <v>216479.35751814142</v>
      </c>
    </row>
    <row r="597" spans="2:30" ht="17" thickBot="1">
      <c r="B597" s="316" t="s">
        <v>371</v>
      </c>
      <c r="C597" s="299"/>
      <c r="D597" s="299"/>
      <c r="E597" s="299"/>
      <c r="F597" s="310"/>
      <c r="G597" s="300">
        <f>+G596*Proyecciones!G59</f>
        <v>0</v>
      </c>
      <c r="H597" s="300">
        <f>+H596*Proyecciones!H59</f>
        <v>0</v>
      </c>
      <c r="I597" s="300">
        <f>+I596*Proyecciones!I59</f>
        <v>0</v>
      </c>
      <c r="J597" s="300">
        <f>+J596*Proyecciones!J59</f>
        <v>0</v>
      </c>
      <c r="K597" s="300">
        <f>+K596*Proyecciones!K59</f>
        <v>0</v>
      </c>
      <c r="L597" s="300">
        <f>+L596*Proyecciones!L59</f>
        <v>0</v>
      </c>
      <c r="M597" s="300">
        <f>+M596*Proyecciones!M59</f>
        <v>0</v>
      </c>
      <c r="N597" s="300">
        <f>+N596*Proyecciones!N59</f>
        <v>0</v>
      </c>
      <c r="O597" s="300">
        <f>+O596*Proyecciones!O59</f>
        <v>0</v>
      </c>
      <c r="P597" s="300">
        <f>+P596*Proyecciones!P59</f>
        <v>0</v>
      </c>
      <c r="Q597" s="300">
        <f>+Q596*Proyecciones!Q59</f>
        <v>0</v>
      </c>
      <c r="R597" s="300">
        <f>+R596*Proyecciones!R59</f>
        <v>0</v>
      </c>
      <c r="S597" s="300">
        <f>+S596*Proyecciones!S59</f>
        <v>0</v>
      </c>
      <c r="T597" s="300">
        <f>+T596*Proyecciones!T59</f>
        <v>0</v>
      </c>
      <c r="U597" s="300">
        <f>+U596*Proyecciones!U59</f>
        <v>0</v>
      </c>
      <c r="V597" s="300">
        <f>+V596*Proyecciones!V59</f>
        <v>0</v>
      </c>
      <c r="W597" s="300">
        <f>+W596*Proyecciones!W59</f>
        <v>0</v>
      </c>
      <c r="X597" s="300">
        <f>+X596*Proyecciones!X59</f>
        <v>0</v>
      </c>
      <c r="Y597" s="300">
        <f>+Y596*Proyecciones!Y59</f>
        <v>0</v>
      </c>
      <c r="Z597" s="300">
        <f>+Z596*Proyecciones!Z59</f>
        <v>0</v>
      </c>
      <c r="AA597" s="301">
        <f>+AA596*Proyecciones!AA59</f>
        <v>0</v>
      </c>
    </row>
    <row r="600" spans="2:30" ht="17" thickBot="1"/>
    <row r="601" spans="2:30" ht="6" customHeight="1" thickTop="1" thickBot="1">
      <c r="B601" s="294"/>
      <c r="C601" s="294"/>
      <c r="D601" s="294"/>
      <c r="E601" s="294"/>
      <c r="F601" s="294"/>
      <c r="G601" s="294"/>
      <c r="H601" s="294"/>
      <c r="I601" s="294"/>
      <c r="J601" s="294"/>
      <c r="K601" s="294"/>
      <c r="L601" s="294"/>
      <c r="M601" s="294"/>
      <c r="N601" s="294"/>
      <c r="O601" s="294"/>
      <c r="P601" s="294"/>
      <c r="Q601" s="294"/>
      <c r="R601" s="294"/>
      <c r="S601" s="294"/>
      <c r="T601" s="294"/>
      <c r="U601" s="294"/>
      <c r="V601" s="294"/>
      <c r="W601" s="294"/>
      <c r="X601" s="294"/>
      <c r="Y601" s="294"/>
      <c r="Z601" s="294"/>
      <c r="AA601" s="294"/>
      <c r="AB601" s="294"/>
      <c r="AC601" s="294"/>
      <c r="AD601" s="294"/>
    </row>
    <row r="602" spans="2:30" ht="6" customHeight="1" thickTop="1" thickBot="1">
      <c r="B602" s="294"/>
      <c r="C602" s="294"/>
      <c r="D602" s="294"/>
      <c r="E602" s="294"/>
      <c r="F602" s="294"/>
      <c r="G602" s="294"/>
      <c r="H602" s="294"/>
      <c r="I602" s="294"/>
      <c r="J602" s="294"/>
      <c r="K602" s="294"/>
      <c r="L602" s="294"/>
      <c r="M602" s="294"/>
      <c r="N602" s="294"/>
      <c r="O602" s="294"/>
      <c r="P602" s="294"/>
      <c r="Q602" s="294"/>
      <c r="R602" s="294"/>
      <c r="S602" s="294"/>
      <c r="T602" s="294"/>
      <c r="U602" s="294"/>
      <c r="V602" s="294"/>
      <c r="W602" s="294"/>
      <c r="X602" s="294"/>
      <c r="Y602" s="294"/>
      <c r="Z602" s="294"/>
      <c r="AA602" s="294"/>
      <c r="AB602" s="294"/>
      <c r="AC602" s="294"/>
      <c r="AD602" s="294"/>
    </row>
    <row r="603" spans="2:30" ht="17" thickTop="1"/>
    <row r="604" spans="2:30">
      <c r="B604" t="s">
        <v>614</v>
      </c>
    </row>
    <row r="605" spans="2:30">
      <c r="B605" t="str">
        <f>+B435</f>
        <v>Arquitectura</v>
      </c>
    </row>
    <row r="606" spans="2:30">
      <c r="B606" t="str">
        <f>+B436</f>
        <v>Ventas</v>
      </c>
      <c r="E606" s="38">
        <f>+SUM(G606:S606)</f>
        <v>322.96599400000002</v>
      </c>
      <c r="G606" s="38">
        <f>+G441*dism_bolsa</f>
        <v>0</v>
      </c>
      <c r="H606" s="38">
        <f t="shared" ref="H606:R606" si="273">+H441*dism_bolsa</f>
        <v>22.386078000000001</v>
      </c>
      <c r="I606" s="38">
        <f t="shared" si="273"/>
        <v>57.272285833225808</v>
      </c>
      <c r="J606" s="38">
        <f t="shared" si="273"/>
        <v>60.357973016774196</v>
      </c>
      <c r="K606" s="38">
        <f t="shared" si="273"/>
        <v>59.050455749999998</v>
      </c>
      <c r="L606" s="38">
        <f t="shared" si="273"/>
        <v>54.729786150000024</v>
      </c>
      <c r="M606" s="38">
        <f t="shared" si="273"/>
        <v>69.169415250000014</v>
      </c>
      <c r="N606" s="38">
        <f t="shared" si="273"/>
        <v>0</v>
      </c>
      <c r="O606" s="38">
        <f t="shared" si="273"/>
        <v>0</v>
      </c>
      <c r="P606" s="38">
        <f t="shared" si="273"/>
        <v>0</v>
      </c>
      <c r="Q606" s="38">
        <f t="shared" si="273"/>
        <v>0</v>
      </c>
      <c r="R606" s="38">
        <f t="shared" si="273"/>
        <v>0</v>
      </c>
    </row>
    <row r="607" spans="2:30">
      <c r="B607" t="s">
        <v>5</v>
      </c>
      <c r="E607" s="38">
        <f t="shared" ref="E607:E628" si="274">+SUM(G607:S607)</f>
        <v>322.96599400000002</v>
      </c>
      <c r="G607" s="38">
        <f t="shared" ref="G607:R607" si="275">+G447*dism_bolsa</f>
        <v>0</v>
      </c>
      <c r="H607" s="38">
        <f t="shared" si="275"/>
        <v>0</v>
      </c>
      <c r="I607" s="38">
        <f t="shared" si="275"/>
        <v>74.620260000000002</v>
      </c>
      <c r="J607" s="38">
        <f t="shared" si="275"/>
        <v>0</v>
      </c>
      <c r="K607" s="38">
        <f t="shared" si="275"/>
        <v>76.936560999999998</v>
      </c>
      <c r="L607" s="38">
        <f t="shared" si="275"/>
        <v>79.18328600000001</v>
      </c>
      <c r="M607" s="38">
        <f t="shared" si="275"/>
        <v>92.225887</v>
      </c>
      <c r="N607" s="38">
        <f t="shared" si="275"/>
        <v>0</v>
      </c>
      <c r="O607" s="38">
        <f t="shared" si="275"/>
        <v>0</v>
      </c>
      <c r="P607" s="38">
        <f t="shared" si="275"/>
        <v>0</v>
      </c>
      <c r="Q607" s="38">
        <f t="shared" si="275"/>
        <v>0</v>
      </c>
      <c r="R607" s="38">
        <f t="shared" si="275"/>
        <v>0</v>
      </c>
    </row>
    <row r="608" spans="2:30">
      <c r="E608" s="38"/>
    </row>
    <row r="609" spans="2:18">
      <c r="B609" t="s">
        <v>11</v>
      </c>
      <c r="E609" s="38">
        <f t="shared" si="274"/>
        <v>0</v>
      </c>
    </row>
    <row r="610" spans="2:18">
      <c r="B610" t="s">
        <v>2</v>
      </c>
      <c r="E610" s="38">
        <f t="shared" si="274"/>
        <v>129.18639759999999</v>
      </c>
      <c r="G610" s="38">
        <f t="shared" ref="G610:R610" si="276">+G456*dism_bolsa</f>
        <v>0</v>
      </c>
      <c r="H610" s="38">
        <f t="shared" si="276"/>
        <v>8.9544312000000001</v>
      </c>
      <c r="I610" s="38">
        <f t="shared" si="276"/>
        <v>22.908914333290319</v>
      </c>
      <c r="J610" s="38">
        <f t="shared" si="276"/>
        <v>24.143189206709671</v>
      </c>
      <c r="K610" s="38">
        <f t="shared" si="276"/>
        <v>23.620182299999989</v>
      </c>
      <c r="L610" s="38">
        <f t="shared" si="276"/>
        <v>21.89191446000001</v>
      </c>
      <c r="M610" s="38">
        <f t="shared" si="276"/>
        <v>27.667766099999994</v>
      </c>
      <c r="N610" s="38">
        <f t="shared" si="276"/>
        <v>0</v>
      </c>
      <c r="O610" s="38">
        <f t="shared" si="276"/>
        <v>0</v>
      </c>
      <c r="P610" s="38">
        <f t="shared" si="276"/>
        <v>0</v>
      </c>
      <c r="Q610" s="38">
        <f t="shared" si="276"/>
        <v>0</v>
      </c>
      <c r="R610" s="38">
        <f t="shared" si="276"/>
        <v>0</v>
      </c>
    </row>
    <row r="611" spans="2:18">
      <c r="B611" t="s">
        <v>5</v>
      </c>
      <c r="E611" s="38">
        <f t="shared" si="274"/>
        <v>129.18639759999999</v>
      </c>
      <c r="G611" s="38">
        <f t="shared" ref="G611:R611" si="277">+G462*dism_bolsa</f>
        <v>0</v>
      </c>
      <c r="H611" s="38">
        <f t="shared" si="277"/>
        <v>0</v>
      </c>
      <c r="I611" s="38">
        <f t="shared" si="277"/>
        <v>29.848103999999999</v>
      </c>
      <c r="J611" s="38">
        <f t="shared" si="277"/>
        <v>0</v>
      </c>
      <c r="K611" s="38">
        <f t="shared" si="277"/>
        <v>30.7746244</v>
      </c>
      <c r="L611" s="38">
        <f t="shared" si="277"/>
        <v>31.673314399999999</v>
      </c>
      <c r="M611" s="38">
        <f t="shared" si="277"/>
        <v>36.890354799999997</v>
      </c>
      <c r="N611" s="38">
        <f t="shared" si="277"/>
        <v>0</v>
      </c>
      <c r="O611" s="38">
        <f t="shared" si="277"/>
        <v>0</v>
      </c>
      <c r="P611" s="38">
        <f t="shared" si="277"/>
        <v>0</v>
      </c>
      <c r="Q611" s="38">
        <f t="shared" si="277"/>
        <v>0</v>
      </c>
      <c r="R611" s="38">
        <f t="shared" si="277"/>
        <v>0</v>
      </c>
    </row>
    <row r="612" spans="2:18">
      <c r="E612" s="38"/>
    </row>
    <row r="613" spans="2:18">
      <c r="B613" t="s">
        <v>270</v>
      </c>
      <c r="E613" s="38">
        <f t="shared" si="274"/>
        <v>0</v>
      </c>
    </row>
    <row r="614" spans="2:18">
      <c r="B614" t="s">
        <v>2</v>
      </c>
      <c r="E614" s="38">
        <f t="shared" si="274"/>
        <v>34557.361357999995</v>
      </c>
      <c r="G614" s="38">
        <f>+G471</f>
        <v>0</v>
      </c>
      <c r="H614" s="38">
        <f t="shared" ref="H614:R614" si="278">+H471</f>
        <v>2395.3103459999998</v>
      </c>
      <c r="I614" s="38">
        <f t="shared" si="278"/>
        <v>6128.1345841551611</v>
      </c>
      <c r="J614" s="38">
        <f t="shared" si="278"/>
        <v>6458.3031127948379</v>
      </c>
      <c r="K614" s="38">
        <f t="shared" si="278"/>
        <v>6318.3987652500009</v>
      </c>
      <c r="L614" s="38">
        <f t="shared" si="278"/>
        <v>5856.0871180500008</v>
      </c>
      <c r="M614" s="38">
        <f t="shared" si="278"/>
        <v>7401.1274317499947</v>
      </c>
      <c r="N614" s="38">
        <f t="shared" si="278"/>
        <v>0</v>
      </c>
      <c r="O614" s="38">
        <f t="shared" si="278"/>
        <v>0</v>
      </c>
      <c r="P614" s="38">
        <f t="shared" si="278"/>
        <v>0</v>
      </c>
      <c r="Q614" s="38">
        <f t="shared" si="278"/>
        <v>0</v>
      </c>
      <c r="R614" s="38">
        <f t="shared" si="278"/>
        <v>0</v>
      </c>
    </row>
    <row r="615" spans="2:18">
      <c r="B615" t="s">
        <v>246</v>
      </c>
      <c r="E615" s="38">
        <f t="shared" si="274"/>
        <v>2260.7619579999991</v>
      </c>
      <c r="G615" s="38">
        <f t="shared" ref="G615:R615" si="279">+G477*dism_bolsa</f>
        <v>0</v>
      </c>
      <c r="H615" s="38">
        <f t="shared" si="279"/>
        <v>156.70254599999998</v>
      </c>
      <c r="I615" s="38">
        <f t="shared" si="279"/>
        <v>400.90600083258028</v>
      </c>
      <c r="J615" s="38">
        <f t="shared" si="279"/>
        <v>422.50581111741917</v>
      </c>
      <c r="K615" s="38">
        <f t="shared" si="279"/>
        <v>413.3531902499999</v>
      </c>
      <c r="L615" s="38">
        <f t="shared" si="279"/>
        <v>383.10850304999894</v>
      </c>
      <c r="M615" s="38">
        <f t="shared" si="279"/>
        <v>484.18590675000087</v>
      </c>
      <c r="N615" s="38">
        <f t="shared" si="279"/>
        <v>0</v>
      </c>
      <c r="O615" s="38">
        <f t="shared" si="279"/>
        <v>0</v>
      </c>
      <c r="P615" s="38">
        <f t="shared" si="279"/>
        <v>0</v>
      </c>
      <c r="Q615" s="38">
        <f t="shared" si="279"/>
        <v>0</v>
      </c>
      <c r="R615" s="38">
        <f t="shared" si="279"/>
        <v>0</v>
      </c>
    </row>
    <row r="616" spans="2:18">
      <c r="B616" t="s">
        <v>5</v>
      </c>
      <c r="E616" s="38">
        <f t="shared" si="274"/>
        <v>2260.7619579999982</v>
      </c>
      <c r="G616" s="38">
        <f t="shared" ref="G616:R616" si="280">+G483*dism_bolsa</f>
        <v>0</v>
      </c>
      <c r="H616" s="38">
        <f t="shared" si="280"/>
        <v>0</v>
      </c>
      <c r="I616" s="38">
        <f t="shared" si="280"/>
        <v>0</v>
      </c>
      <c r="J616" s="38">
        <f t="shared" si="280"/>
        <v>522.34181999999964</v>
      </c>
      <c r="K616" s="38">
        <f t="shared" si="280"/>
        <v>538.55592699999943</v>
      </c>
      <c r="L616" s="38">
        <f t="shared" si="280"/>
        <v>332.56980120000026</v>
      </c>
      <c r="M616" s="38">
        <f t="shared" si="280"/>
        <v>867.2944097999989</v>
      </c>
      <c r="N616" s="38">
        <f t="shared" si="280"/>
        <v>0</v>
      </c>
      <c r="O616" s="38">
        <f t="shared" si="280"/>
        <v>0</v>
      </c>
      <c r="P616" s="38">
        <f t="shared" si="280"/>
        <v>0</v>
      </c>
      <c r="Q616" s="38">
        <f t="shared" si="280"/>
        <v>0</v>
      </c>
      <c r="R616" s="38">
        <f t="shared" si="280"/>
        <v>0</v>
      </c>
    </row>
    <row r="617" spans="2:18">
      <c r="E617" s="38"/>
    </row>
    <row r="618" spans="2:18">
      <c r="B618" t="s">
        <v>10</v>
      </c>
      <c r="E618" s="38">
        <f t="shared" si="274"/>
        <v>0</v>
      </c>
    </row>
    <row r="619" spans="2:18">
      <c r="B619" t="s">
        <v>2</v>
      </c>
      <c r="E619" s="38">
        <f t="shared" si="274"/>
        <v>18528.442446200002</v>
      </c>
      <c r="G619" s="38">
        <f>+G492</f>
        <v>0</v>
      </c>
      <c r="H619" s="38">
        <f t="shared" ref="H619:R619" si="281">+H492</f>
        <v>1314.8843993999999</v>
      </c>
      <c r="I619" s="38">
        <f t="shared" si="281"/>
        <v>3359.6405125357742</v>
      </c>
      <c r="J619" s="38">
        <f t="shared" si="281"/>
        <v>3493.1776093192257</v>
      </c>
      <c r="K619" s="38">
        <f t="shared" si="281"/>
        <v>3376.5349157250021</v>
      </c>
      <c r="L619" s="38">
        <f t="shared" si="281"/>
        <v>3100.3697816450017</v>
      </c>
      <c r="M619" s="38">
        <f t="shared" si="281"/>
        <v>3883.8352275749994</v>
      </c>
      <c r="N619" s="38">
        <f t="shared" si="281"/>
        <v>0</v>
      </c>
      <c r="O619" s="38">
        <f t="shared" si="281"/>
        <v>0</v>
      </c>
      <c r="P619" s="38">
        <f t="shared" si="281"/>
        <v>0</v>
      </c>
      <c r="Q619" s="38">
        <f t="shared" si="281"/>
        <v>0</v>
      </c>
      <c r="R619" s="38">
        <f t="shared" si="281"/>
        <v>0</v>
      </c>
    </row>
    <row r="620" spans="2:18">
      <c r="B620" t="s">
        <v>246</v>
      </c>
      <c r="E620" s="38">
        <f t="shared" si="274"/>
        <v>3899.2100000000019</v>
      </c>
      <c r="G620" s="38">
        <f t="shared" ref="G620:R620" si="282">+G498*dism_bolsa</f>
        <v>0</v>
      </c>
      <c r="H620" s="38">
        <f t="shared" si="282"/>
        <v>270.27000000000021</v>
      </c>
      <c r="I620" s="38">
        <f t="shared" si="282"/>
        <v>691.45567580645206</v>
      </c>
      <c r="J620" s="38">
        <f t="shared" si="282"/>
        <v>728.70957419354818</v>
      </c>
      <c r="K620" s="38">
        <f t="shared" si="282"/>
        <v>712.92374999999993</v>
      </c>
      <c r="L620" s="38">
        <f t="shared" si="282"/>
        <v>660.75975000000199</v>
      </c>
      <c r="M620" s="38">
        <f t="shared" si="282"/>
        <v>835.09124999999949</v>
      </c>
      <c r="N620" s="38">
        <f t="shared" si="282"/>
        <v>0</v>
      </c>
      <c r="O620" s="38">
        <f t="shared" si="282"/>
        <v>0</v>
      </c>
      <c r="P620" s="38">
        <f t="shared" si="282"/>
        <v>0</v>
      </c>
      <c r="Q620" s="38">
        <f t="shared" si="282"/>
        <v>0</v>
      </c>
      <c r="R620" s="38">
        <f t="shared" si="282"/>
        <v>0</v>
      </c>
    </row>
    <row r="621" spans="2:18">
      <c r="B621" t="s">
        <v>5</v>
      </c>
      <c r="E621" s="38">
        <f t="shared" si="274"/>
        <v>3899.2100000000014</v>
      </c>
      <c r="G621" s="38">
        <f t="shared" ref="G621:R621" si="283">+G504*dism_bolsa</f>
        <v>0</v>
      </c>
      <c r="H621" s="38">
        <f t="shared" si="283"/>
        <v>0</v>
      </c>
      <c r="I621" s="38">
        <f t="shared" si="283"/>
        <v>0</v>
      </c>
      <c r="J621" s="38">
        <f t="shared" si="283"/>
        <v>900.90000000000055</v>
      </c>
      <c r="K621" s="38">
        <f t="shared" si="283"/>
        <v>928.86500000000024</v>
      </c>
      <c r="L621" s="38">
        <f t="shared" si="283"/>
        <v>573.5939999999996</v>
      </c>
      <c r="M621" s="38">
        <f t="shared" si="283"/>
        <v>1495.851000000001</v>
      </c>
      <c r="N621" s="38">
        <f t="shared" si="283"/>
        <v>0</v>
      </c>
      <c r="O621" s="38">
        <f t="shared" si="283"/>
        <v>0</v>
      </c>
      <c r="P621" s="38">
        <f t="shared" si="283"/>
        <v>0</v>
      </c>
      <c r="Q621" s="38">
        <f t="shared" si="283"/>
        <v>0</v>
      </c>
      <c r="R621" s="38">
        <f t="shared" si="283"/>
        <v>0</v>
      </c>
    </row>
    <row r="622" spans="2:18">
      <c r="E622" s="38"/>
    </row>
    <row r="623" spans="2:18">
      <c r="B623" t="s">
        <v>271</v>
      </c>
      <c r="E623" s="38">
        <f t="shared" si="274"/>
        <v>0</v>
      </c>
    </row>
    <row r="624" spans="2:18">
      <c r="B624" t="s">
        <v>2</v>
      </c>
      <c r="E624" s="38">
        <f t="shared" si="274"/>
        <v>2391.12</v>
      </c>
      <c r="G624" s="38">
        <f t="shared" ref="G624:R624" si="284">+G513*dism_bolsa</f>
        <v>0</v>
      </c>
      <c r="H624" s="38">
        <f t="shared" si="284"/>
        <v>135.13500000000002</v>
      </c>
      <c r="I624" s="38">
        <f t="shared" si="284"/>
        <v>350.0725290322581</v>
      </c>
      <c r="J624" s="38">
        <f t="shared" si="284"/>
        <v>416.40547096774196</v>
      </c>
      <c r="K624" s="38">
        <f t="shared" si="284"/>
        <v>448.35599999999999</v>
      </c>
      <c r="L624" s="38">
        <f t="shared" si="284"/>
        <v>444.65724999999998</v>
      </c>
      <c r="M624" s="38">
        <f t="shared" si="284"/>
        <v>596.49374999999986</v>
      </c>
      <c r="N624" s="38">
        <f t="shared" si="284"/>
        <v>0</v>
      </c>
      <c r="O624" s="38">
        <f t="shared" si="284"/>
        <v>0</v>
      </c>
      <c r="P624" s="38">
        <f t="shared" si="284"/>
        <v>0</v>
      </c>
      <c r="Q624" s="38">
        <f t="shared" si="284"/>
        <v>0</v>
      </c>
      <c r="R624" s="38">
        <f t="shared" si="284"/>
        <v>0</v>
      </c>
    </row>
    <row r="625" spans="2:21">
      <c r="B625" t="s">
        <v>5</v>
      </c>
      <c r="E625" s="38">
        <f t="shared" si="274"/>
        <v>2391.12</v>
      </c>
      <c r="G625" s="38">
        <f t="shared" ref="G625:R625" si="285">+G519*dism_bolsa</f>
        <v>0</v>
      </c>
      <c r="H625" s="38">
        <f t="shared" si="285"/>
        <v>0</v>
      </c>
      <c r="I625" s="38">
        <f t="shared" si="285"/>
        <v>0</v>
      </c>
      <c r="J625" s="38">
        <f t="shared" si="285"/>
        <v>0</v>
      </c>
      <c r="K625" s="38">
        <f t="shared" si="285"/>
        <v>0</v>
      </c>
      <c r="L625" s="38">
        <f t="shared" si="285"/>
        <v>530.78</v>
      </c>
      <c r="M625" s="38">
        <f t="shared" si="285"/>
        <v>1065.0149999999999</v>
      </c>
      <c r="N625" s="38">
        <f t="shared" si="285"/>
        <v>795.32499999999993</v>
      </c>
      <c r="O625" s="38">
        <f t="shared" si="285"/>
        <v>0</v>
      </c>
      <c r="P625" s="38">
        <f t="shared" si="285"/>
        <v>0</v>
      </c>
      <c r="Q625" s="38">
        <f t="shared" si="285"/>
        <v>0</v>
      </c>
      <c r="R625" s="38">
        <f t="shared" si="285"/>
        <v>0</v>
      </c>
    </row>
    <row r="626" spans="2:21">
      <c r="E626" s="38"/>
    </row>
    <row r="627" spans="2:21">
      <c r="B627" t="s">
        <v>272</v>
      </c>
      <c r="E627" s="38">
        <f t="shared" si="274"/>
        <v>1800</v>
      </c>
      <c r="G627" s="38">
        <f>+G526</f>
        <v>1400</v>
      </c>
      <c r="H627" s="38">
        <f t="shared" ref="H627:R627" si="286">+H526</f>
        <v>400</v>
      </c>
      <c r="I627" s="38">
        <f t="shared" si="286"/>
        <v>0</v>
      </c>
      <c r="J627" s="38">
        <f t="shared" si="286"/>
        <v>0</v>
      </c>
      <c r="K627" s="38">
        <f t="shared" si="286"/>
        <v>0</v>
      </c>
      <c r="L627" s="38">
        <f t="shared" si="286"/>
        <v>0</v>
      </c>
      <c r="M627" s="38">
        <f t="shared" si="286"/>
        <v>0</v>
      </c>
      <c r="N627" s="38">
        <f t="shared" si="286"/>
        <v>0</v>
      </c>
      <c r="O627" s="38">
        <f t="shared" si="286"/>
        <v>0</v>
      </c>
      <c r="P627" s="38">
        <f t="shared" si="286"/>
        <v>0</v>
      </c>
      <c r="Q627" s="38">
        <f t="shared" si="286"/>
        <v>0</v>
      </c>
      <c r="R627" s="38">
        <f t="shared" si="286"/>
        <v>0</v>
      </c>
    </row>
    <row r="628" spans="2:21">
      <c r="B628" t="s">
        <v>273</v>
      </c>
      <c r="E628" s="38">
        <f t="shared" si="274"/>
        <v>1800</v>
      </c>
      <c r="G628" s="38">
        <f>+G533</f>
        <v>0</v>
      </c>
      <c r="H628" s="38">
        <f t="shared" ref="H628:R628" si="287">+H533</f>
        <v>0</v>
      </c>
      <c r="I628" s="38">
        <f t="shared" si="287"/>
        <v>0</v>
      </c>
      <c r="J628" s="38">
        <f t="shared" si="287"/>
        <v>0</v>
      </c>
      <c r="K628" s="38">
        <f t="shared" si="287"/>
        <v>1400</v>
      </c>
      <c r="L628" s="38">
        <f t="shared" si="287"/>
        <v>400</v>
      </c>
      <c r="M628" s="38">
        <f t="shared" si="287"/>
        <v>0</v>
      </c>
      <c r="N628" s="38">
        <f t="shared" si="287"/>
        <v>0</v>
      </c>
      <c r="O628" s="38">
        <f t="shared" si="287"/>
        <v>0</v>
      </c>
      <c r="P628" s="38">
        <f t="shared" si="287"/>
        <v>0</v>
      </c>
      <c r="Q628" s="38">
        <f t="shared" si="287"/>
        <v>0</v>
      </c>
      <c r="R628" s="38">
        <f t="shared" si="287"/>
        <v>0</v>
      </c>
    </row>
    <row r="629" spans="2:21">
      <c r="B629" t="s">
        <v>216</v>
      </c>
      <c r="H629" s="38">
        <f>+(H270+H302+H334+H366)*'Reg Proy Inmob'!$C$271-SUM($G$629:G629)</f>
        <v>0</v>
      </c>
      <c r="I629" s="38">
        <f>+(I270+I302+I334+I366)*'Reg Proy Inmob'!$C$271-SUM($G$629:H629)</f>
        <v>0</v>
      </c>
      <c r="J629" s="38">
        <f>+(J270+J302+J334+J366)*'Reg Proy Inmob'!$C$271-SUM($G$629:I629)</f>
        <v>12922.234182</v>
      </c>
      <c r="K629" s="38">
        <f>+(K270+K302+K334+K366)*'Reg Proy Inmob'!$C$271-SUM($G$629:J629)</f>
        <v>13323.355592700002</v>
      </c>
      <c r="L629" s="38">
        <f>+(L270+L302+L334+L366)*'Reg Proy Inmob'!$C$271-SUM($G$629:K629)</f>
        <v>13712.428300199997</v>
      </c>
      <c r="M629" s="38">
        <f>+(M270+M302+M334+M366)*'Reg Proy Inmob'!$C$271-SUM($G$629:L629)</f>
        <v>15971.058120900001</v>
      </c>
      <c r="N629" s="38">
        <f>+(N270+N302+N334+N366)*'Reg Proy Inmob'!$C$271-SUM($G$629:M629)</f>
        <v>0</v>
      </c>
      <c r="O629" s="38">
        <f>+(O270+O302+O334+O366)*'Reg Proy Inmob'!$C$271-SUM($G$629:N629)</f>
        <v>0</v>
      </c>
      <c r="P629" s="38">
        <f>+(P270+P302+P334+P366)*'Reg Proy Inmob'!$C$271-SUM($G$629:O629)</f>
        <v>0</v>
      </c>
      <c r="Q629" s="38">
        <f>+(Q270+Q302+Q334+Q366)*'Reg Proy Inmob'!$C$271-SUM($G$629:P629)</f>
        <v>0</v>
      </c>
      <c r="R629" s="38">
        <f>+(R270+R302+R334+R366)*'Reg Proy Inmob'!$C$271-SUM($G$629:Q629)</f>
        <v>0</v>
      </c>
    </row>
    <row r="630" spans="2:21">
      <c r="B630" t="s">
        <v>359</v>
      </c>
      <c r="G630">
        <f>+G542</f>
        <v>0</v>
      </c>
      <c r="H630">
        <f t="shared" ref="H630:R630" si="288">+H542</f>
        <v>0</v>
      </c>
      <c r="I630">
        <f t="shared" si="288"/>
        <v>0</v>
      </c>
      <c r="J630">
        <f>+J542</f>
        <v>8365.5</v>
      </c>
      <c r="K630">
        <f t="shared" si="288"/>
        <v>8625.1750000000011</v>
      </c>
      <c r="L630">
        <f t="shared" si="288"/>
        <v>8877.0500000000011</v>
      </c>
      <c r="M630">
        <f t="shared" si="288"/>
        <v>10339.225</v>
      </c>
      <c r="N630">
        <f t="shared" si="288"/>
        <v>0</v>
      </c>
      <c r="O630">
        <f t="shared" si="288"/>
        <v>0</v>
      </c>
      <c r="P630">
        <f t="shared" si="288"/>
        <v>0</v>
      </c>
      <c r="Q630">
        <f t="shared" si="288"/>
        <v>0</v>
      </c>
      <c r="R630">
        <f t="shared" si="288"/>
        <v>0</v>
      </c>
    </row>
    <row r="631" spans="2:21">
      <c r="B631" t="s">
        <v>589</v>
      </c>
      <c r="D631" s="1"/>
      <c r="G631" s="38">
        <f>-G627+G628+G625+G621+G616+G611+G607</f>
        <v>-1400</v>
      </c>
      <c r="H631" s="38">
        <f t="shared" ref="H631:U631" si="289">-H627+H628+H625+H621+H616+H611+H607</f>
        <v>-400</v>
      </c>
      <c r="I631" s="38">
        <f t="shared" si="289"/>
        <v>104.46836400000001</v>
      </c>
      <c r="J631" s="38">
        <f t="shared" si="289"/>
        <v>1423.2418200000002</v>
      </c>
      <c r="K631" s="38">
        <f t="shared" si="289"/>
        <v>2975.1321123999996</v>
      </c>
      <c r="L631" s="38">
        <f t="shared" si="289"/>
        <v>1947.8004015999998</v>
      </c>
      <c r="M631" s="38">
        <f t="shared" si="289"/>
        <v>3557.2766515999997</v>
      </c>
      <c r="N631" s="38">
        <f t="shared" si="289"/>
        <v>795.32499999999993</v>
      </c>
      <c r="O631" s="38">
        <f t="shared" si="289"/>
        <v>0</v>
      </c>
      <c r="P631" s="38">
        <f t="shared" si="289"/>
        <v>0</v>
      </c>
      <c r="Q631" s="38">
        <f t="shared" si="289"/>
        <v>0</v>
      </c>
      <c r="R631" s="38">
        <f t="shared" si="289"/>
        <v>0</v>
      </c>
      <c r="S631" s="38">
        <f t="shared" si="289"/>
        <v>0</v>
      </c>
      <c r="T631" s="38">
        <f t="shared" si="289"/>
        <v>0</v>
      </c>
      <c r="U631" s="38">
        <f t="shared" si="289"/>
        <v>0</v>
      </c>
    </row>
    <row r="632" spans="2:21">
      <c r="G632" s="38">
        <f>+G628+G625+G621+G616+G611+G607</f>
        <v>0</v>
      </c>
    </row>
    <row r="633" spans="2:21">
      <c r="C633" t="s">
        <v>615</v>
      </c>
      <c r="D633" t="s">
        <v>616</v>
      </c>
      <c r="E633" t="s">
        <v>617</v>
      </c>
    </row>
    <row r="634" spans="2:21">
      <c r="B634" t="s">
        <v>618</v>
      </c>
      <c r="C634">
        <v>2019</v>
      </c>
      <c r="D634">
        <f>+VLOOKUP(C634,$B$545:$C$567,2,FALSE)</f>
        <v>0</v>
      </c>
      <c r="E634" s="55">
        <f>+HLOOKUP('Proyectos Inmob detall'!C634,Proyecciones!$G$56:$AG$57,2,FALSE)</f>
        <v>1</v>
      </c>
    </row>
    <row r="635" spans="2:21">
      <c r="B635" t="str">
        <f>+B465</f>
        <v>Construcción</v>
      </c>
    </row>
    <row r="636" spans="2:21">
      <c r="B636" t="str">
        <f>+B466</f>
        <v>Ventas</v>
      </c>
      <c r="G636" s="38">
        <f t="shared" ref="G636:R636" si="290">+$D634*G$606*(1+INFLACION)^($C634-$G$4)</f>
        <v>0</v>
      </c>
      <c r="H636" s="38">
        <f t="shared" si="290"/>
        <v>0</v>
      </c>
      <c r="I636" s="38">
        <f t="shared" si="290"/>
        <v>0</v>
      </c>
      <c r="J636" s="38">
        <f t="shared" si="290"/>
        <v>0</v>
      </c>
      <c r="K636" s="38">
        <f t="shared" si="290"/>
        <v>0</v>
      </c>
      <c r="L636" s="38">
        <f t="shared" si="290"/>
        <v>0</v>
      </c>
      <c r="M636" s="38">
        <f t="shared" si="290"/>
        <v>0</v>
      </c>
      <c r="N636" s="38">
        <f t="shared" si="290"/>
        <v>0</v>
      </c>
      <c r="O636" s="38">
        <f t="shared" si="290"/>
        <v>0</v>
      </c>
      <c r="P636" s="38">
        <f t="shared" si="290"/>
        <v>0</v>
      </c>
      <c r="Q636" s="38">
        <f t="shared" si="290"/>
        <v>0</v>
      </c>
      <c r="R636" s="38">
        <f t="shared" si="290"/>
        <v>0</v>
      </c>
    </row>
    <row r="637" spans="2:21">
      <c r="B637" t="s">
        <v>5</v>
      </c>
      <c r="G637" s="38">
        <f t="shared" ref="G637:R637" si="291">+$D634*G$607*(1+INFLACION)^($C634-$G$4)</f>
        <v>0</v>
      </c>
      <c r="H637" s="38">
        <f t="shared" si="291"/>
        <v>0</v>
      </c>
      <c r="I637" s="38">
        <f t="shared" si="291"/>
        <v>0</v>
      </c>
      <c r="J637" s="38">
        <f t="shared" si="291"/>
        <v>0</v>
      </c>
      <c r="K637" s="38">
        <f t="shared" si="291"/>
        <v>0</v>
      </c>
      <c r="L637" s="38">
        <f t="shared" si="291"/>
        <v>0</v>
      </c>
      <c r="M637" s="38">
        <f t="shared" si="291"/>
        <v>0</v>
      </c>
      <c r="N637" s="38">
        <f t="shared" si="291"/>
        <v>0</v>
      </c>
      <c r="O637" s="38">
        <f t="shared" si="291"/>
        <v>0</v>
      </c>
      <c r="P637" s="38">
        <f t="shared" si="291"/>
        <v>0</v>
      </c>
      <c r="Q637" s="38">
        <f t="shared" si="291"/>
        <v>0</v>
      </c>
      <c r="R637" s="38">
        <f t="shared" si="291"/>
        <v>0</v>
      </c>
    </row>
    <row r="639" spans="2:21">
      <c r="B639" t="s">
        <v>11</v>
      </c>
    </row>
    <row r="640" spans="2:21">
      <c r="B640" t="s">
        <v>2</v>
      </c>
      <c r="G640" s="38">
        <f t="shared" ref="G640:R640" si="292">$D634*G$610*(1+INFLACION)^($C634-$G$4)</f>
        <v>0</v>
      </c>
      <c r="H640" s="38">
        <f t="shared" si="292"/>
        <v>0</v>
      </c>
      <c r="I640" s="38">
        <f t="shared" si="292"/>
        <v>0</v>
      </c>
      <c r="J640" s="38">
        <f t="shared" si="292"/>
        <v>0</v>
      </c>
      <c r="K640" s="38">
        <f t="shared" si="292"/>
        <v>0</v>
      </c>
      <c r="L640" s="38">
        <f t="shared" si="292"/>
        <v>0</v>
      </c>
      <c r="M640" s="38">
        <f t="shared" si="292"/>
        <v>0</v>
      </c>
      <c r="N640" s="38">
        <f t="shared" si="292"/>
        <v>0</v>
      </c>
      <c r="O640" s="38">
        <f t="shared" si="292"/>
        <v>0</v>
      </c>
      <c r="P640" s="38">
        <f t="shared" si="292"/>
        <v>0</v>
      </c>
      <c r="Q640" s="38">
        <f t="shared" si="292"/>
        <v>0</v>
      </c>
      <c r="R640" s="38">
        <f t="shared" si="292"/>
        <v>0</v>
      </c>
    </row>
    <row r="641" spans="2:18">
      <c r="B641" t="s">
        <v>5</v>
      </c>
      <c r="G641" s="38">
        <f t="shared" ref="G641:R641" si="293">+$D634*G$611*(1+INFLACION)^($C634-$G$4)</f>
        <v>0</v>
      </c>
      <c r="H641" s="38">
        <f t="shared" si="293"/>
        <v>0</v>
      </c>
      <c r="I641" s="38">
        <f t="shared" si="293"/>
        <v>0</v>
      </c>
      <c r="J641" s="38">
        <f t="shared" si="293"/>
        <v>0</v>
      </c>
      <c r="K641" s="38">
        <f t="shared" si="293"/>
        <v>0</v>
      </c>
      <c r="L641" s="38">
        <f t="shared" si="293"/>
        <v>0</v>
      </c>
      <c r="M641" s="38">
        <f t="shared" si="293"/>
        <v>0</v>
      </c>
      <c r="N641" s="38">
        <f t="shared" si="293"/>
        <v>0</v>
      </c>
      <c r="O641" s="38">
        <f t="shared" si="293"/>
        <v>0</v>
      </c>
      <c r="P641" s="38">
        <f t="shared" si="293"/>
        <v>0</v>
      </c>
      <c r="Q641" s="38">
        <f t="shared" si="293"/>
        <v>0</v>
      </c>
      <c r="R641" s="38">
        <f t="shared" si="293"/>
        <v>0</v>
      </c>
    </row>
    <row r="643" spans="2:18">
      <c r="B643" t="s">
        <v>270</v>
      </c>
    </row>
    <row r="644" spans="2:18">
      <c r="B644" t="s">
        <v>2</v>
      </c>
      <c r="G644" s="38">
        <f t="shared" ref="G644:R644" si="294">+$D634*G$614*(1+INFLACION)^($C634-$G$4)</f>
        <v>0</v>
      </c>
      <c r="H644" s="38">
        <f t="shared" si="294"/>
        <v>0</v>
      </c>
      <c r="I644" s="38">
        <f t="shared" si="294"/>
        <v>0</v>
      </c>
      <c r="J644" s="38">
        <f t="shared" si="294"/>
        <v>0</v>
      </c>
      <c r="K644" s="38">
        <f t="shared" si="294"/>
        <v>0</v>
      </c>
      <c r="L644" s="38">
        <f t="shared" si="294"/>
        <v>0</v>
      </c>
      <c r="M644" s="38">
        <f t="shared" si="294"/>
        <v>0</v>
      </c>
      <c r="N644" s="38">
        <f t="shared" si="294"/>
        <v>0</v>
      </c>
      <c r="O644" s="38">
        <f t="shared" si="294"/>
        <v>0</v>
      </c>
      <c r="P644" s="38">
        <f t="shared" si="294"/>
        <v>0</v>
      </c>
      <c r="Q644" s="38">
        <f t="shared" si="294"/>
        <v>0</v>
      </c>
      <c r="R644" s="38">
        <f t="shared" si="294"/>
        <v>0</v>
      </c>
    </row>
    <row r="645" spans="2:18">
      <c r="B645" t="s">
        <v>246</v>
      </c>
      <c r="G645" s="38">
        <f t="shared" ref="G645:R645" si="295">+$D634*G$615*(1+INFLACION)^($C634-$G$4)</f>
        <v>0</v>
      </c>
      <c r="H645" s="38">
        <f t="shared" si="295"/>
        <v>0</v>
      </c>
      <c r="I645" s="38">
        <f t="shared" si="295"/>
        <v>0</v>
      </c>
      <c r="J645" s="38">
        <f t="shared" si="295"/>
        <v>0</v>
      </c>
      <c r="K645" s="38">
        <f t="shared" si="295"/>
        <v>0</v>
      </c>
      <c r="L645" s="38">
        <f t="shared" si="295"/>
        <v>0</v>
      </c>
      <c r="M645" s="38">
        <f t="shared" si="295"/>
        <v>0</v>
      </c>
      <c r="N645" s="38">
        <f t="shared" si="295"/>
        <v>0</v>
      </c>
      <c r="O645" s="38">
        <f t="shared" si="295"/>
        <v>0</v>
      </c>
      <c r="P645" s="38">
        <f t="shared" si="295"/>
        <v>0</v>
      </c>
      <c r="Q645" s="38">
        <f t="shared" si="295"/>
        <v>0</v>
      </c>
      <c r="R645" s="38">
        <f t="shared" si="295"/>
        <v>0</v>
      </c>
    </row>
    <row r="646" spans="2:18">
      <c r="B646" t="s">
        <v>5</v>
      </c>
      <c r="G646" s="38">
        <f t="shared" ref="G646:R646" si="296">+$D634*G$616*(1+INFLACION)^($C634-$G$4)</f>
        <v>0</v>
      </c>
      <c r="H646" s="38">
        <f t="shared" si="296"/>
        <v>0</v>
      </c>
      <c r="I646" s="38">
        <f t="shared" si="296"/>
        <v>0</v>
      </c>
      <c r="J646" s="38">
        <f t="shared" si="296"/>
        <v>0</v>
      </c>
      <c r="K646" s="38">
        <f t="shared" si="296"/>
        <v>0</v>
      </c>
      <c r="L646" s="38">
        <f t="shared" si="296"/>
        <v>0</v>
      </c>
      <c r="M646" s="38">
        <f t="shared" si="296"/>
        <v>0</v>
      </c>
      <c r="N646" s="38">
        <f t="shared" si="296"/>
        <v>0</v>
      </c>
      <c r="O646" s="38">
        <f t="shared" si="296"/>
        <v>0</v>
      </c>
      <c r="P646" s="38">
        <f t="shared" si="296"/>
        <v>0</v>
      </c>
      <c r="Q646" s="38">
        <f t="shared" si="296"/>
        <v>0</v>
      </c>
      <c r="R646" s="38">
        <f t="shared" si="296"/>
        <v>0</v>
      </c>
    </row>
    <row r="648" spans="2:18">
      <c r="B648" t="s">
        <v>10</v>
      </c>
    </row>
    <row r="649" spans="2:18">
      <c r="B649" t="s">
        <v>2</v>
      </c>
      <c r="G649" s="38">
        <f t="shared" ref="G649:R649" si="297">+$D634*G$619*(1+INFLACION)^($C634-$G$4)</f>
        <v>0</v>
      </c>
      <c r="H649" s="38">
        <f t="shared" si="297"/>
        <v>0</v>
      </c>
      <c r="I649" s="38">
        <f t="shared" si="297"/>
        <v>0</v>
      </c>
      <c r="J649" s="38">
        <f t="shared" si="297"/>
        <v>0</v>
      </c>
      <c r="K649" s="38">
        <f t="shared" si="297"/>
        <v>0</v>
      </c>
      <c r="L649" s="38">
        <f t="shared" si="297"/>
        <v>0</v>
      </c>
      <c r="M649" s="38">
        <f t="shared" si="297"/>
        <v>0</v>
      </c>
      <c r="N649" s="38">
        <f t="shared" si="297"/>
        <v>0</v>
      </c>
      <c r="O649" s="38">
        <f t="shared" si="297"/>
        <v>0</v>
      </c>
      <c r="P649" s="38">
        <f t="shared" si="297"/>
        <v>0</v>
      </c>
      <c r="Q649" s="38">
        <f t="shared" si="297"/>
        <v>0</v>
      </c>
      <c r="R649" s="38">
        <f t="shared" si="297"/>
        <v>0</v>
      </c>
    </row>
    <row r="650" spans="2:18">
      <c r="B650" t="s">
        <v>246</v>
      </c>
      <c r="G650" s="38">
        <f t="shared" ref="G650:R650" si="298">$D634*G$620*(1+INFLACION)^($C634-$G$4)</f>
        <v>0</v>
      </c>
      <c r="H650" s="38">
        <f t="shared" si="298"/>
        <v>0</v>
      </c>
      <c r="I650" s="38">
        <f t="shared" si="298"/>
        <v>0</v>
      </c>
      <c r="J650" s="38">
        <f t="shared" si="298"/>
        <v>0</v>
      </c>
      <c r="K650" s="38">
        <f t="shared" si="298"/>
        <v>0</v>
      </c>
      <c r="L650" s="38">
        <f t="shared" si="298"/>
        <v>0</v>
      </c>
      <c r="M650" s="38">
        <f t="shared" si="298"/>
        <v>0</v>
      </c>
      <c r="N650" s="38">
        <f t="shared" si="298"/>
        <v>0</v>
      </c>
      <c r="O650" s="38">
        <f t="shared" si="298"/>
        <v>0</v>
      </c>
      <c r="P650" s="38">
        <f t="shared" si="298"/>
        <v>0</v>
      </c>
      <c r="Q650" s="38">
        <f t="shared" si="298"/>
        <v>0</v>
      </c>
      <c r="R650" s="38">
        <f t="shared" si="298"/>
        <v>0</v>
      </c>
    </row>
    <row r="651" spans="2:18">
      <c r="B651" t="s">
        <v>5</v>
      </c>
      <c r="G651" s="38">
        <f t="shared" ref="G651:R651" si="299">+$D634*G$621*(1+INFLACION)^($C634-$G$4)</f>
        <v>0</v>
      </c>
      <c r="H651" s="38">
        <f t="shared" si="299"/>
        <v>0</v>
      </c>
      <c r="I651" s="38">
        <f t="shared" si="299"/>
        <v>0</v>
      </c>
      <c r="J651" s="38">
        <f t="shared" si="299"/>
        <v>0</v>
      </c>
      <c r="K651" s="38">
        <f t="shared" si="299"/>
        <v>0</v>
      </c>
      <c r="L651" s="38">
        <f t="shared" si="299"/>
        <v>0</v>
      </c>
      <c r="M651" s="38">
        <f t="shared" si="299"/>
        <v>0</v>
      </c>
      <c r="N651" s="38">
        <f t="shared" si="299"/>
        <v>0</v>
      </c>
      <c r="O651" s="38">
        <f t="shared" si="299"/>
        <v>0</v>
      </c>
      <c r="P651" s="38">
        <f t="shared" si="299"/>
        <v>0</v>
      </c>
      <c r="Q651" s="38">
        <f t="shared" si="299"/>
        <v>0</v>
      </c>
      <c r="R651" s="38">
        <f t="shared" si="299"/>
        <v>0</v>
      </c>
    </row>
    <row r="653" spans="2:18">
      <c r="B653" t="s">
        <v>271</v>
      </c>
    </row>
    <row r="654" spans="2:18">
      <c r="B654" t="s">
        <v>2</v>
      </c>
      <c r="G654" s="38">
        <f t="shared" ref="G654:R654" si="300">+$D634*G$624*(1+INFLACION)^($C634-$G$4)*$E634</f>
        <v>0</v>
      </c>
      <c r="H654" s="38">
        <f t="shared" si="300"/>
        <v>0</v>
      </c>
      <c r="I654" s="38">
        <f t="shared" si="300"/>
        <v>0</v>
      </c>
      <c r="J654" s="38">
        <f t="shared" si="300"/>
        <v>0</v>
      </c>
      <c r="K654" s="38">
        <f t="shared" si="300"/>
        <v>0</v>
      </c>
      <c r="L654" s="38">
        <f t="shared" si="300"/>
        <v>0</v>
      </c>
      <c r="M654" s="38">
        <f t="shared" si="300"/>
        <v>0</v>
      </c>
      <c r="N654" s="38">
        <f t="shared" si="300"/>
        <v>0</v>
      </c>
      <c r="O654" s="38">
        <f t="shared" si="300"/>
        <v>0</v>
      </c>
      <c r="P654" s="38">
        <f t="shared" si="300"/>
        <v>0</v>
      </c>
      <c r="Q654" s="38">
        <f t="shared" si="300"/>
        <v>0</v>
      </c>
      <c r="R654" s="38">
        <f t="shared" si="300"/>
        <v>0</v>
      </c>
    </row>
    <row r="655" spans="2:18">
      <c r="B655" t="s">
        <v>5</v>
      </c>
      <c r="G655" s="38">
        <f t="shared" ref="G655:R655" si="301">+$D634*G$625*(1+INFLACION)^($C634-$G$4)*$E634</f>
        <v>0</v>
      </c>
      <c r="H655" s="38">
        <f t="shared" si="301"/>
        <v>0</v>
      </c>
      <c r="I655" s="38">
        <f t="shared" si="301"/>
        <v>0</v>
      </c>
      <c r="J655" s="38">
        <f t="shared" si="301"/>
        <v>0</v>
      </c>
      <c r="K655" s="38">
        <f t="shared" si="301"/>
        <v>0</v>
      </c>
      <c r="L655" s="38">
        <f t="shared" si="301"/>
        <v>0</v>
      </c>
      <c r="M655" s="38">
        <f t="shared" si="301"/>
        <v>0</v>
      </c>
      <c r="N655" s="38">
        <f t="shared" si="301"/>
        <v>0</v>
      </c>
      <c r="O655" s="38">
        <f t="shared" si="301"/>
        <v>0</v>
      </c>
      <c r="P655" s="38">
        <f t="shared" si="301"/>
        <v>0</v>
      </c>
      <c r="Q655" s="38">
        <f t="shared" si="301"/>
        <v>0</v>
      </c>
      <c r="R655" s="38">
        <f t="shared" si="301"/>
        <v>0</v>
      </c>
    </row>
    <row r="657" spans="2:22">
      <c r="B657" t="s">
        <v>272</v>
      </c>
      <c r="G657" s="38">
        <f t="shared" ref="G657:R657" si="302">$D634*G$627*(1+INFLACION)^($C634-$G$4)*$E634</f>
        <v>0</v>
      </c>
      <c r="H657" s="38">
        <f t="shared" si="302"/>
        <v>0</v>
      </c>
      <c r="I657" s="38">
        <f t="shared" si="302"/>
        <v>0</v>
      </c>
      <c r="J657" s="38">
        <f t="shared" si="302"/>
        <v>0</v>
      </c>
      <c r="K657" s="38">
        <f t="shared" si="302"/>
        <v>0</v>
      </c>
      <c r="L657" s="38">
        <f t="shared" si="302"/>
        <v>0</v>
      </c>
      <c r="M657" s="38">
        <f t="shared" si="302"/>
        <v>0</v>
      </c>
      <c r="N657" s="38">
        <f t="shared" si="302"/>
        <v>0</v>
      </c>
      <c r="O657" s="38">
        <f t="shared" si="302"/>
        <v>0</v>
      </c>
      <c r="P657" s="38">
        <f t="shared" si="302"/>
        <v>0</v>
      </c>
      <c r="Q657" s="38">
        <f t="shared" si="302"/>
        <v>0</v>
      </c>
      <c r="R657" s="38">
        <f t="shared" si="302"/>
        <v>0</v>
      </c>
    </row>
    <row r="658" spans="2:22">
      <c r="B658" t="s">
        <v>273</v>
      </c>
      <c r="G658" s="38">
        <f t="shared" ref="G658:R658" si="303">+$D634*G$628*(1+INFLACION)^($C634-$G$4)*$E634</f>
        <v>0</v>
      </c>
      <c r="H658" s="38">
        <f t="shared" si="303"/>
        <v>0</v>
      </c>
      <c r="I658" s="38">
        <f t="shared" si="303"/>
        <v>0</v>
      </c>
      <c r="J658" s="38">
        <f t="shared" si="303"/>
        <v>0</v>
      </c>
      <c r="K658" s="38">
        <f t="shared" si="303"/>
        <v>0</v>
      </c>
      <c r="L658" s="38">
        <f t="shared" si="303"/>
        <v>0</v>
      </c>
      <c r="M658" s="38">
        <f t="shared" si="303"/>
        <v>0</v>
      </c>
      <c r="N658" s="38">
        <f t="shared" si="303"/>
        <v>0</v>
      </c>
      <c r="O658" s="38">
        <f t="shared" si="303"/>
        <v>0</v>
      </c>
      <c r="P658" s="38">
        <f t="shared" si="303"/>
        <v>0</v>
      </c>
      <c r="Q658" s="38">
        <f t="shared" si="303"/>
        <v>0</v>
      </c>
      <c r="R658" s="38">
        <f t="shared" si="303"/>
        <v>0</v>
      </c>
    </row>
    <row r="659" spans="2:22">
      <c r="B659" t="str">
        <f>+B629</f>
        <v>Escrituración</v>
      </c>
      <c r="G659" s="38">
        <f t="shared" ref="G659:R659" si="304">+$D634*G$629*(1+INFLACION)^($C634-$G$4)</f>
        <v>0</v>
      </c>
      <c r="H659" s="38">
        <f t="shared" si="304"/>
        <v>0</v>
      </c>
      <c r="I659" s="38">
        <f t="shared" si="304"/>
        <v>0</v>
      </c>
      <c r="J659" s="38">
        <f t="shared" si="304"/>
        <v>0</v>
      </c>
      <c r="K659" s="38">
        <f t="shared" si="304"/>
        <v>0</v>
      </c>
      <c r="L659" s="38">
        <f t="shared" si="304"/>
        <v>0</v>
      </c>
      <c r="M659" s="38">
        <f t="shared" si="304"/>
        <v>0</v>
      </c>
      <c r="N659" s="38">
        <f t="shared" si="304"/>
        <v>0</v>
      </c>
      <c r="O659" s="38">
        <f t="shared" si="304"/>
        <v>0</v>
      </c>
      <c r="P659" s="38">
        <f t="shared" si="304"/>
        <v>0</v>
      </c>
      <c r="Q659" s="38">
        <f t="shared" si="304"/>
        <v>0</v>
      </c>
      <c r="R659" s="38">
        <f t="shared" si="304"/>
        <v>0</v>
      </c>
    </row>
    <row r="660" spans="2:22">
      <c r="B660" t="s">
        <v>359</v>
      </c>
      <c r="G660" s="38">
        <f t="shared" ref="G660:R660" si="305">+$D634*G$630*(1+INFLACION)^($C634-$G$4)</f>
        <v>0</v>
      </c>
      <c r="H660" s="38">
        <f t="shared" si="305"/>
        <v>0</v>
      </c>
      <c r="I660" s="38">
        <f t="shared" si="305"/>
        <v>0</v>
      </c>
      <c r="J660" s="38">
        <f t="shared" si="305"/>
        <v>0</v>
      </c>
      <c r="K660" s="38">
        <f t="shared" si="305"/>
        <v>0</v>
      </c>
      <c r="L660" s="38">
        <f t="shared" si="305"/>
        <v>0</v>
      </c>
      <c r="M660" s="38">
        <f t="shared" si="305"/>
        <v>0</v>
      </c>
      <c r="N660" s="38">
        <f t="shared" si="305"/>
        <v>0</v>
      </c>
      <c r="O660" s="38">
        <f t="shared" si="305"/>
        <v>0</v>
      </c>
      <c r="P660" s="38">
        <f t="shared" si="305"/>
        <v>0</v>
      </c>
      <c r="Q660" s="38">
        <f t="shared" si="305"/>
        <v>0</v>
      </c>
      <c r="R660" s="38">
        <f t="shared" si="305"/>
        <v>0</v>
      </c>
    </row>
    <row r="663" spans="2:22">
      <c r="C663" t="s">
        <v>615</v>
      </c>
      <c r="D663" t="s">
        <v>616</v>
      </c>
      <c r="E663" t="s">
        <v>617</v>
      </c>
    </row>
    <row r="664" spans="2:22">
      <c r="B664" t="s">
        <v>618</v>
      </c>
      <c r="C664">
        <v>2020</v>
      </c>
      <c r="D664">
        <f>+VLOOKUP(C664,$B$545:$C$567,2,FALSE)</f>
        <v>2</v>
      </c>
      <c r="E664" s="55">
        <f>+HLOOKUP('Proyectos Inmob detall'!C664,Proyecciones!$G$56:$AG$57,2,FALSE)</f>
        <v>1</v>
      </c>
    </row>
    <row r="665" spans="2:22">
      <c r="B665" t="str">
        <f>+B605</f>
        <v>Arquitectura</v>
      </c>
      <c r="H665">
        <f>+VLOOKUP($C$664,$B$545:$C$567,2,FALSE)*G606</f>
        <v>0</v>
      </c>
    </row>
    <row r="666" spans="2:22">
      <c r="B666" t="str">
        <f>+B606</f>
        <v>Ventas</v>
      </c>
      <c r="H666" s="38">
        <f t="shared" ref="H666:V666" si="306">+$D664*G$606*(1+INFLACION)^($C664-$G$4)</f>
        <v>0</v>
      </c>
      <c r="I666" s="38">
        <f t="shared" si="306"/>
        <v>46.563042240000001</v>
      </c>
      <c r="J666" s="38">
        <f t="shared" si="306"/>
        <v>119.12635453310969</v>
      </c>
      <c r="K666" s="38">
        <f t="shared" si="306"/>
        <v>125.54458387489034</v>
      </c>
      <c r="L666" s="38">
        <f t="shared" si="306"/>
        <v>122.82494796</v>
      </c>
      <c r="M666" s="38">
        <f t="shared" si="306"/>
        <v>113.83795519200005</v>
      </c>
      <c r="N666" s="38">
        <f t="shared" si="306"/>
        <v>143.87238372000004</v>
      </c>
      <c r="O666" s="38">
        <f t="shared" si="306"/>
        <v>0</v>
      </c>
      <c r="P666" s="38">
        <f t="shared" si="306"/>
        <v>0</v>
      </c>
      <c r="Q666" s="38">
        <f t="shared" si="306"/>
        <v>0</v>
      </c>
      <c r="R666" s="38">
        <f t="shared" si="306"/>
        <v>0</v>
      </c>
      <c r="S666" s="38">
        <f t="shared" si="306"/>
        <v>0</v>
      </c>
      <c r="T666" s="38">
        <f t="shared" si="306"/>
        <v>0</v>
      </c>
      <c r="U666" s="38">
        <f t="shared" si="306"/>
        <v>0</v>
      </c>
      <c r="V666" s="38">
        <f t="shared" si="306"/>
        <v>0</v>
      </c>
    </row>
    <row r="667" spans="2:22">
      <c r="B667" t="str">
        <f>+B607</f>
        <v>Caja</v>
      </c>
      <c r="H667" s="38">
        <f t="shared" ref="H667:V667" si="307">+$D664*G$607*(1+INFLACION)^($C664-$G$4)</f>
        <v>0</v>
      </c>
      <c r="I667" s="38">
        <f t="shared" si="307"/>
        <v>0</v>
      </c>
      <c r="J667" s="38">
        <f t="shared" si="307"/>
        <v>155.2101408</v>
      </c>
      <c r="K667" s="38">
        <f t="shared" si="307"/>
        <v>0</v>
      </c>
      <c r="L667" s="38">
        <f t="shared" si="307"/>
        <v>160.02804688000001</v>
      </c>
      <c r="M667" s="38">
        <f t="shared" si="307"/>
        <v>164.70123488000002</v>
      </c>
      <c r="N667" s="38">
        <f t="shared" si="307"/>
        <v>191.82984496</v>
      </c>
      <c r="O667" s="38">
        <f t="shared" si="307"/>
        <v>0</v>
      </c>
      <c r="P667" s="38">
        <f t="shared" si="307"/>
        <v>0</v>
      </c>
      <c r="Q667" s="38">
        <f t="shared" si="307"/>
        <v>0</v>
      </c>
      <c r="R667" s="38">
        <f t="shared" si="307"/>
        <v>0</v>
      </c>
      <c r="S667" s="38">
        <f t="shared" si="307"/>
        <v>0</v>
      </c>
      <c r="T667" s="38">
        <f t="shared" si="307"/>
        <v>0</v>
      </c>
      <c r="U667" s="38">
        <f t="shared" si="307"/>
        <v>0</v>
      </c>
      <c r="V667" s="38">
        <f t="shared" si="307"/>
        <v>0</v>
      </c>
    </row>
    <row r="669" spans="2:22">
      <c r="B669" t="str">
        <f>+B609</f>
        <v>Preconstrucción</v>
      </c>
    </row>
    <row r="670" spans="2:22">
      <c r="B670" t="str">
        <f>+B610</f>
        <v>Ventas</v>
      </c>
      <c r="H670" s="38">
        <f t="shared" ref="H670:V670" si="308">$D664*G$610*(1+INFLACION)^($C664-$G$4)</f>
        <v>0</v>
      </c>
      <c r="I670" s="38">
        <f t="shared" si="308"/>
        <v>18.625216896000001</v>
      </c>
      <c r="J670" s="38">
        <f t="shared" si="308"/>
        <v>47.650541813243862</v>
      </c>
      <c r="K670" s="38">
        <f t="shared" si="308"/>
        <v>50.217833549956119</v>
      </c>
      <c r="L670" s="38">
        <f t="shared" si="308"/>
        <v>49.129979183999978</v>
      </c>
      <c r="M670" s="38">
        <f t="shared" si="308"/>
        <v>45.53518207680002</v>
      </c>
      <c r="N670" s="38">
        <f t="shared" si="308"/>
        <v>57.548953487999988</v>
      </c>
      <c r="O670" s="38">
        <f t="shared" si="308"/>
        <v>0</v>
      </c>
      <c r="P670" s="38">
        <f t="shared" si="308"/>
        <v>0</v>
      </c>
      <c r="Q670" s="38">
        <f t="shared" si="308"/>
        <v>0</v>
      </c>
      <c r="R670" s="38">
        <f t="shared" si="308"/>
        <v>0</v>
      </c>
      <c r="S670" s="38">
        <f t="shared" si="308"/>
        <v>0</v>
      </c>
      <c r="T670" s="38">
        <f t="shared" si="308"/>
        <v>0</v>
      </c>
      <c r="U670" s="38">
        <f t="shared" si="308"/>
        <v>0</v>
      </c>
      <c r="V670" s="38">
        <f t="shared" si="308"/>
        <v>0</v>
      </c>
    </row>
    <row r="671" spans="2:22">
      <c r="B671" t="str">
        <f>+B611</f>
        <v>Caja</v>
      </c>
      <c r="H671" s="38">
        <f t="shared" ref="H671:V671" si="309">+$D664*G$611*(1+INFLACION)^($C664-$G$4)</f>
        <v>0</v>
      </c>
      <c r="I671" s="38">
        <f t="shared" si="309"/>
        <v>0</v>
      </c>
      <c r="J671" s="38">
        <f t="shared" si="309"/>
        <v>62.084056320000002</v>
      </c>
      <c r="K671" s="38">
        <f t="shared" si="309"/>
        <v>0</v>
      </c>
      <c r="L671" s="38">
        <f t="shared" si="309"/>
        <v>64.011218752000005</v>
      </c>
      <c r="M671" s="38">
        <f t="shared" si="309"/>
        <v>65.880493951999995</v>
      </c>
      <c r="N671" s="38">
        <f t="shared" si="309"/>
        <v>76.731937983999998</v>
      </c>
      <c r="O671" s="38">
        <f t="shared" si="309"/>
        <v>0</v>
      </c>
      <c r="P671" s="38">
        <f t="shared" si="309"/>
        <v>0</v>
      </c>
      <c r="Q671" s="38">
        <f t="shared" si="309"/>
        <v>0</v>
      </c>
      <c r="R671" s="38">
        <f t="shared" si="309"/>
        <v>0</v>
      </c>
      <c r="S671" s="38">
        <f t="shared" si="309"/>
        <v>0</v>
      </c>
      <c r="T671" s="38">
        <f t="shared" si="309"/>
        <v>0</v>
      </c>
      <c r="U671" s="38">
        <f t="shared" si="309"/>
        <v>0</v>
      </c>
      <c r="V671" s="38">
        <f t="shared" si="309"/>
        <v>0</v>
      </c>
    </row>
    <row r="673" spans="2:22">
      <c r="B673" t="str">
        <f>+B613</f>
        <v>Construccion</v>
      </c>
    </row>
    <row r="674" spans="2:22">
      <c r="B674" t="str">
        <f>+B614</f>
        <v>Ventas</v>
      </c>
      <c r="H674" s="38">
        <f t="shared" ref="H674:V674" si="310">+$D664*G$614*(1+INFLACION)^($C664-$G$4)</f>
        <v>0</v>
      </c>
      <c r="I674" s="38">
        <f t="shared" si="310"/>
        <v>4982.2455196799992</v>
      </c>
      <c r="J674" s="38">
        <f t="shared" si="310"/>
        <v>12746.519935042736</v>
      </c>
      <c r="K674" s="38">
        <f t="shared" si="310"/>
        <v>13433.270474613264</v>
      </c>
      <c r="L674" s="38">
        <f t="shared" si="310"/>
        <v>13142.269431720002</v>
      </c>
      <c r="M674" s="38">
        <f t="shared" si="310"/>
        <v>12180.661205544002</v>
      </c>
      <c r="N674" s="38">
        <f t="shared" si="310"/>
        <v>15394.345058039989</v>
      </c>
      <c r="O674" s="38">
        <f t="shared" si="310"/>
        <v>0</v>
      </c>
      <c r="P674" s="38">
        <f t="shared" si="310"/>
        <v>0</v>
      </c>
      <c r="Q674" s="38">
        <f t="shared" si="310"/>
        <v>0</v>
      </c>
      <c r="R674" s="38">
        <f t="shared" si="310"/>
        <v>0</v>
      </c>
      <c r="S674" s="38">
        <f t="shared" si="310"/>
        <v>0</v>
      </c>
      <c r="T674" s="38">
        <f t="shared" si="310"/>
        <v>0</v>
      </c>
      <c r="U674" s="38">
        <f t="shared" si="310"/>
        <v>0</v>
      </c>
      <c r="V674" s="38">
        <f t="shared" si="310"/>
        <v>0</v>
      </c>
    </row>
    <row r="675" spans="2:22">
      <c r="B675" t="str">
        <f>+B615</f>
        <v>Utilidad</v>
      </c>
      <c r="H675" s="38">
        <f t="shared" ref="H675:V675" si="311">+$D664*G$615*(1+INFLACION)^($C664-$G$4)</f>
        <v>0</v>
      </c>
      <c r="I675" s="38">
        <f t="shared" si="311"/>
        <v>325.94129568</v>
      </c>
      <c r="J675" s="38">
        <f t="shared" si="311"/>
        <v>833.88448173176698</v>
      </c>
      <c r="K675" s="38">
        <f t="shared" si="311"/>
        <v>878.81208712423188</v>
      </c>
      <c r="L675" s="38">
        <f t="shared" si="311"/>
        <v>859.77463571999976</v>
      </c>
      <c r="M675" s="38">
        <f t="shared" si="311"/>
        <v>796.86568634399782</v>
      </c>
      <c r="N675" s="38">
        <f t="shared" si="311"/>
        <v>1007.1066860400018</v>
      </c>
      <c r="O675" s="38">
        <f t="shared" si="311"/>
        <v>0</v>
      </c>
      <c r="P675" s="38">
        <f t="shared" si="311"/>
        <v>0</v>
      </c>
      <c r="Q675" s="38">
        <f t="shared" si="311"/>
        <v>0</v>
      </c>
      <c r="R675" s="38">
        <f t="shared" si="311"/>
        <v>0</v>
      </c>
      <c r="S675" s="38">
        <f t="shared" si="311"/>
        <v>0</v>
      </c>
      <c r="T675" s="38">
        <f t="shared" si="311"/>
        <v>0</v>
      </c>
      <c r="U675" s="38">
        <f t="shared" si="311"/>
        <v>0</v>
      </c>
      <c r="V675" s="38">
        <f t="shared" si="311"/>
        <v>0</v>
      </c>
    </row>
    <row r="676" spans="2:22">
      <c r="B676" t="str">
        <f>+B616</f>
        <v>Caja</v>
      </c>
      <c r="H676" s="38">
        <f t="shared" ref="H676:V676" si="312">+$D664*G$616*(1+INFLACION)^($C664-$G$4)</f>
        <v>0</v>
      </c>
      <c r="I676" s="38">
        <f t="shared" si="312"/>
        <v>0</v>
      </c>
      <c r="J676" s="38">
        <f t="shared" si="312"/>
        <v>0</v>
      </c>
      <c r="K676" s="38">
        <f t="shared" si="312"/>
        <v>1086.4709855999993</v>
      </c>
      <c r="L676" s="38">
        <f t="shared" si="312"/>
        <v>1120.1963281599988</v>
      </c>
      <c r="M676" s="38">
        <f t="shared" si="312"/>
        <v>691.74518649600054</v>
      </c>
      <c r="N676" s="38">
        <f t="shared" si="312"/>
        <v>1803.9723723839977</v>
      </c>
      <c r="O676" s="38">
        <f t="shared" si="312"/>
        <v>0</v>
      </c>
      <c r="P676" s="38">
        <f t="shared" si="312"/>
        <v>0</v>
      </c>
      <c r="Q676" s="38">
        <f t="shared" si="312"/>
        <v>0</v>
      </c>
      <c r="R676" s="38">
        <f t="shared" si="312"/>
        <v>0</v>
      </c>
      <c r="S676" s="38">
        <f t="shared" si="312"/>
        <v>0</v>
      </c>
      <c r="T676" s="38">
        <f t="shared" si="312"/>
        <v>0</v>
      </c>
      <c r="U676" s="38">
        <f t="shared" si="312"/>
        <v>0</v>
      </c>
      <c r="V676" s="38">
        <f t="shared" si="312"/>
        <v>0</v>
      </c>
    </row>
    <row r="678" spans="2:22">
      <c r="B678" t="str">
        <f>+B618</f>
        <v>Inmobiliario</v>
      </c>
    </row>
    <row r="679" spans="2:22">
      <c r="B679" t="str">
        <f>+B619</f>
        <v>Ventas</v>
      </c>
      <c r="H679" s="38">
        <f t="shared" ref="H679:V679" si="313">+$D664*G$619*(1+INFLACION)^($C664-$G$4)</f>
        <v>0</v>
      </c>
      <c r="I679" s="38">
        <f t="shared" si="313"/>
        <v>2734.9595507519998</v>
      </c>
      <c r="J679" s="38">
        <f t="shared" si="313"/>
        <v>6988.0522660744109</v>
      </c>
      <c r="K679" s="38">
        <f t="shared" si="313"/>
        <v>7265.8094273839897</v>
      </c>
      <c r="L679" s="38">
        <f t="shared" si="313"/>
        <v>7023.1926247080046</v>
      </c>
      <c r="M679" s="38">
        <f t="shared" si="313"/>
        <v>6448.7691458216041</v>
      </c>
      <c r="N679" s="38">
        <f t="shared" si="313"/>
        <v>8078.377273355999</v>
      </c>
      <c r="O679" s="38">
        <f t="shared" si="313"/>
        <v>0</v>
      </c>
      <c r="P679" s="38">
        <f t="shared" si="313"/>
        <v>0</v>
      </c>
      <c r="Q679" s="38">
        <f t="shared" si="313"/>
        <v>0</v>
      </c>
      <c r="R679" s="38">
        <f t="shared" si="313"/>
        <v>0</v>
      </c>
      <c r="S679" s="38">
        <f t="shared" si="313"/>
        <v>0</v>
      </c>
      <c r="T679" s="38">
        <f t="shared" si="313"/>
        <v>0</v>
      </c>
      <c r="U679" s="38">
        <f t="shared" si="313"/>
        <v>0</v>
      </c>
      <c r="V679" s="38">
        <f t="shared" si="313"/>
        <v>0</v>
      </c>
    </row>
    <row r="680" spans="2:22">
      <c r="B680" t="str">
        <f>+B620</f>
        <v>Utilidad</v>
      </c>
      <c r="H680" s="38">
        <f t="shared" ref="H680:V680" si="314">$D664*G$620*(1+INFLACION)^($C664-$G$4)</f>
        <v>0</v>
      </c>
      <c r="I680" s="38">
        <f t="shared" si="314"/>
        <v>562.16160000000048</v>
      </c>
      <c r="J680" s="38">
        <f t="shared" si="314"/>
        <v>1438.2278056774203</v>
      </c>
      <c r="K680" s="38">
        <f t="shared" si="314"/>
        <v>1515.7159143225804</v>
      </c>
      <c r="L680" s="38">
        <f t="shared" si="314"/>
        <v>1482.8814</v>
      </c>
      <c r="M680" s="38">
        <f t="shared" si="314"/>
        <v>1374.3802800000042</v>
      </c>
      <c r="N680" s="38">
        <f t="shared" si="314"/>
        <v>1736.9897999999989</v>
      </c>
      <c r="O680" s="38">
        <f t="shared" si="314"/>
        <v>0</v>
      </c>
      <c r="P680" s="38">
        <f t="shared" si="314"/>
        <v>0</v>
      </c>
      <c r="Q680" s="38">
        <f t="shared" si="314"/>
        <v>0</v>
      </c>
      <c r="R680" s="38">
        <f t="shared" si="314"/>
        <v>0</v>
      </c>
      <c r="S680" s="38">
        <f t="shared" si="314"/>
        <v>0</v>
      </c>
      <c r="T680" s="38">
        <f t="shared" si="314"/>
        <v>0</v>
      </c>
      <c r="U680" s="38">
        <f t="shared" si="314"/>
        <v>0</v>
      </c>
      <c r="V680" s="38">
        <f t="shared" si="314"/>
        <v>0</v>
      </c>
    </row>
    <row r="681" spans="2:22">
      <c r="B681" t="str">
        <f>+B621</f>
        <v>Caja</v>
      </c>
      <c r="H681" s="38">
        <f t="shared" ref="H681:V681" si="315">+$D664*G$621*(1+INFLACION)^($C664-$G$4)</f>
        <v>0</v>
      </c>
      <c r="I681" s="38">
        <f t="shared" si="315"/>
        <v>0</v>
      </c>
      <c r="J681" s="38">
        <f t="shared" si="315"/>
        <v>0</v>
      </c>
      <c r="K681" s="38">
        <f t="shared" si="315"/>
        <v>1873.8720000000012</v>
      </c>
      <c r="L681" s="38">
        <f t="shared" si="315"/>
        <v>1932.0392000000006</v>
      </c>
      <c r="M681" s="38">
        <f t="shared" si="315"/>
        <v>1193.0755199999992</v>
      </c>
      <c r="N681" s="38">
        <f t="shared" si="315"/>
        <v>3111.3700800000024</v>
      </c>
      <c r="O681" s="38">
        <f t="shared" si="315"/>
        <v>0</v>
      </c>
      <c r="P681" s="38">
        <f t="shared" si="315"/>
        <v>0</v>
      </c>
      <c r="Q681" s="38">
        <f t="shared" si="315"/>
        <v>0</v>
      </c>
      <c r="R681" s="38">
        <f t="shared" si="315"/>
        <v>0</v>
      </c>
      <c r="S681" s="38">
        <f t="shared" si="315"/>
        <v>0</v>
      </c>
      <c r="T681" s="38">
        <f t="shared" si="315"/>
        <v>0</v>
      </c>
      <c r="U681" s="38">
        <f t="shared" si="315"/>
        <v>0</v>
      </c>
      <c r="V681" s="38">
        <f t="shared" si="315"/>
        <v>0</v>
      </c>
    </row>
    <row r="683" spans="2:22">
      <c r="B683" t="str">
        <f>+B623</f>
        <v>utilidad como inversionista</v>
      </c>
    </row>
    <row r="684" spans="2:22">
      <c r="B684" t="str">
        <f>+B624</f>
        <v>Ventas</v>
      </c>
      <c r="H684" s="38">
        <f t="shared" ref="H684:V684" si="316">+$D664*G$624*(1+INFLACION)^($C664-$G$4)*$E664</f>
        <v>0</v>
      </c>
      <c r="I684" s="38">
        <f t="shared" si="316"/>
        <v>281.08080000000007</v>
      </c>
      <c r="J684" s="38">
        <f t="shared" si="316"/>
        <v>728.15086038709683</v>
      </c>
      <c r="K684" s="38">
        <f t="shared" si="316"/>
        <v>866.12337961290336</v>
      </c>
      <c r="L684" s="38">
        <f t="shared" si="316"/>
        <v>932.58047999999997</v>
      </c>
      <c r="M684" s="38">
        <f t="shared" si="316"/>
        <v>924.88707999999997</v>
      </c>
      <c r="N684" s="38">
        <f t="shared" si="316"/>
        <v>1240.7069999999997</v>
      </c>
      <c r="O684" s="38">
        <f t="shared" si="316"/>
        <v>0</v>
      </c>
      <c r="P684" s="38">
        <f t="shared" si="316"/>
        <v>0</v>
      </c>
      <c r="Q684" s="38">
        <f t="shared" si="316"/>
        <v>0</v>
      </c>
      <c r="R684" s="38">
        <f t="shared" si="316"/>
        <v>0</v>
      </c>
      <c r="S684" s="38">
        <f t="shared" si="316"/>
        <v>0</v>
      </c>
      <c r="T684" s="38">
        <f t="shared" si="316"/>
        <v>0</v>
      </c>
      <c r="U684" s="38">
        <f t="shared" si="316"/>
        <v>0</v>
      </c>
      <c r="V684" s="38">
        <f t="shared" si="316"/>
        <v>0</v>
      </c>
    </row>
    <row r="685" spans="2:22">
      <c r="B685" t="str">
        <f>+B625</f>
        <v>Caja</v>
      </c>
      <c r="H685" s="38">
        <f t="shared" ref="H685:V685" si="317">+$D664*G$625*(1+INFLACION)^($C664-$G$4)*$E664</f>
        <v>0</v>
      </c>
      <c r="I685" s="38">
        <f t="shared" si="317"/>
        <v>0</v>
      </c>
      <c r="J685" s="38">
        <f t="shared" si="317"/>
        <v>0</v>
      </c>
      <c r="K685" s="38">
        <f t="shared" si="317"/>
        <v>0</v>
      </c>
      <c r="L685" s="38">
        <f t="shared" si="317"/>
        <v>0</v>
      </c>
      <c r="M685" s="38">
        <f t="shared" si="317"/>
        <v>1104.0224000000001</v>
      </c>
      <c r="N685" s="38">
        <f t="shared" si="317"/>
        <v>2215.2311999999997</v>
      </c>
      <c r="O685" s="38">
        <f t="shared" si="317"/>
        <v>1654.2759999999998</v>
      </c>
      <c r="P685" s="38">
        <f t="shared" si="317"/>
        <v>0</v>
      </c>
      <c r="Q685" s="38">
        <f t="shared" si="317"/>
        <v>0</v>
      </c>
      <c r="R685" s="38">
        <f t="shared" si="317"/>
        <v>0</v>
      </c>
      <c r="S685" s="38">
        <f t="shared" si="317"/>
        <v>0</v>
      </c>
      <c r="T685" s="38">
        <f t="shared" si="317"/>
        <v>0</v>
      </c>
      <c r="U685" s="38">
        <f t="shared" si="317"/>
        <v>0</v>
      </c>
      <c r="V685" s="38">
        <f t="shared" si="317"/>
        <v>0</v>
      </c>
    </row>
    <row r="687" spans="2:22">
      <c r="B687" t="str">
        <f>+B627</f>
        <v>Inversiones en proyectos caja</v>
      </c>
      <c r="H687" s="38">
        <f t="shared" ref="H687:V687" si="318">$D664*G$627*(1+INFLACION)^($C664-$G$4)*$E664</f>
        <v>2912</v>
      </c>
      <c r="I687" s="38">
        <f t="shared" si="318"/>
        <v>832</v>
      </c>
      <c r="J687" s="38">
        <f t="shared" si="318"/>
        <v>0</v>
      </c>
      <c r="K687" s="38">
        <f t="shared" si="318"/>
        <v>0</v>
      </c>
      <c r="L687" s="38">
        <f t="shared" si="318"/>
        <v>0</v>
      </c>
      <c r="M687" s="38">
        <f t="shared" si="318"/>
        <v>0</v>
      </c>
      <c r="N687" s="38">
        <f t="shared" si="318"/>
        <v>0</v>
      </c>
      <c r="O687" s="38">
        <f t="shared" si="318"/>
        <v>0</v>
      </c>
      <c r="P687" s="38">
        <f t="shared" si="318"/>
        <v>0</v>
      </c>
      <c r="Q687" s="38">
        <f t="shared" si="318"/>
        <v>0</v>
      </c>
      <c r="R687" s="38">
        <f t="shared" si="318"/>
        <v>0</v>
      </c>
      <c r="S687" s="38">
        <f t="shared" si="318"/>
        <v>0</v>
      </c>
      <c r="T687" s="38">
        <f t="shared" si="318"/>
        <v>0</v>
      </c>
      <c r="U687" s="38">
        <f t="shared" si="318"/>
        <v>0</v>
      </c>
      <c r="V687" s="38">
        <f t="shared" si="318"/>
        <v>0</v>
      </c>
    </row>
    <row r="688" spans="2:22">
      <c r="B688" t="str">
        <f>+B628</f>
        <v>DesInversiones en proyectos caja</v>
      </c>
      <c r="H688" s="38">
        <f t="shared" ref="H688:S688" si="319">+$D664*G$628*(1+INFLACION)^($C664-$G$4)*$E664</f>
        <v>0</v>
      </c>
      <c r="I688" s="38">
        <f t="shared" si="319"/>
        <v>0</v>
      </c>
      <c r="J688" s="38">
        <f t="shared" si="319"/>
        <v>0</v>
      </c>
      <c r="K688" s="38">
        <f t="shared" si="319"/>
        <v>0</v>
      </c>
      <c r="L688" s="38">
        <f t="shared" si="319"/>
        <v>2912</v>
      </c>
      <c r="M688" s="38">
        <f t="shared" si="319"/>
        <v>832</v>
      </c>
      <c r="N688" s="38">
        <f t="shared" si="319"/>
        <v>0</v>
      </c>
      <c r="O688" s="38">
        <f t="shared" si="319"/>
        <v>0</v>
      </c>
      <c r="P688" s="38">
        <f t="shared" si="319"/>
        <v>0</v>
      </c>
      <c r="Q688" s="38">
        <f t="shared" si="319"/>
        <v>0</v>
      </c>
      <c r="R688" s="38">
        <f t="shared" si="319"/>
        <v>0</v>
      </c>
      <c r="S688" s="38">
        <f t="shared" si="319"/>
        <v>0</v>
      </c>
    </row>
    <row r="689" spans="2:23">
      <c r="B689" t="str">
        <f>+B659</f>
        <v>Escrituración</v>
      </c>
      <c r="H689" s="38">
        <f t="shared" ref="H689:S689" si="320">+$D664*G$629*(1+INFLACION)^($C664-$G$4)</f>
        <v>0</v>
      </c>
      <c r="I689" s="38">
        <f t="shared" si="320"/>
        <v>0</v>
      </c>
      <c r="J689" s="38">
        <f t="shared" si="320"/>
        <v>0</v>
      </c>
      <c r="K689" s="38">
        <f t="shared" si="320"/>
        <v>26878.247098560001</v>
      </c>
      <c r="L689" s="38">
        <f t="shared" si="320"/>
        <v>27712.579632816003</v>
      </c>
      <c r="M689" s="38">
        <f t="shared" si="320"/>
        <v>28521.850864415996</v>
      </c>
      <c r="N689" s="38">
        <f t="shared" si="320"/>
        <v>33219.800891472005</v>
      </c>
      <c r="O689" s="38">
        <f t="shared" si="320"/>
        <v>0</v>
      </c>
      <c r="P689" s="38">
        <f t="shared" si="320"/>
        <v>0</v>
      </c>
      <c r="Q689" s="38">
        <f t="shared" si="320"/>
        <v>0</v>
      </c>
      <c r="R689" s="38">
        <f t="shared" si="320"/>
        <v>0</v>
      </c>
      <c r="S689" s="38">
        <f t="shared" si="320"/>
        <v>0</v>
      </c>
    </row>
    <row r="690" spans="2:23">
      <c r="B690" t="s">
        <v>359</v>
      </c>
      <c r="H690" s="38">
        <f t="shared" ref="H690:S690" si="321">+$D664*G$630*(1+INFLACION)^($C664-$G$4)</f>
        <v>0</v>
      </c>
      <c r="I690" s="38">
        <f t="shared" si="321"/>
        <v>0</v>
      </c>
      <c r="J690" s="38">
        <f t="shared" si="321"/>
        <v>0</v>
      </c>
      <c r="K690" s="38">
        <f t="shared" si="321"/>
        <v>17400.240000000002</v>
      </c>
      <c r="L690" s="38">
        <f t="shared" si="321"/>
        <v>17940.364000000001</v>
      </c>
      <c r="M690" s="38">
        <f t="shared" si="321"/>
        <v>18464.264000000003</v>
      </c>
      <c r="N690" s="38">
        <f t="shared" si="321"/>
        <v>21505.588</v>
      </c>
      <c r="O690" s="38">
        <f t="shared" si="321"/>
        <v>0</v>
      </c>
      <c r="P690" s="38">
        <f t="shared" si="321"/>
        <v>0</v>
      </c>
      <c r="Q690" s="38">
        <f t="shared" si="321"/>
        <v>0</v>
      </c>
      <c r="R690" s="38">
        <f t="shared" si="321"/>
        <v>0</v>
      </c>
      <c r="S690" s="38">
        <f t="shared" si="321"/>
        <v>0</v>
      </c>
    </row>
    <row r="693" spans="2:23">
      <c r="C693" t="s">
        <v>615</v>
      </c>
      <c r="D693" t="s">
        <v>616</v>
      </c>
      <c r="E693" t="s">
        <v>617</v>
      </c>
    </row>
    <row r="694" spans="2:23">
      <c r="B694" t="s">
        <v>618</v>
      </c>
      <c r="C694">
        <f>+C664+1</f>
        <v>2021</v>
      </c>
      <c r="D694">
        <f>+VLOOKUP(C694,$B$545:$C$567,2,FALSE)</f>
        <v>3</v>
      </c>
      <c r="E694" s="55">
        <f>+HLOOKUP('Proyectos Inmob detall'!C694,Proyecciones!$G$56:$AG$57,2,FALSE)</f>
        <v>1</v>
      </c>
    </row>
    <row r="695" spans="2:23">
      <c r="B695" t="str">
        <f>+B665</f>
        <v>Arquitectura</v>
      </c>
    </row>
    <row r="696" spans="2:23">
      <c r="B696" t="str">
        <f t="shared" ref="B696:B718" si="322">+B666</f>
        <v>Ventas</v>
      </c>
      <c r="I696" s="38">
        <f t="shared" ref="I696:W696" si="323">+$D694*G$606*(1+INFLACION)^($C694-$G$4)</f>
        <v>0</v>
      </c>
      <c r="J696" s="38">
        <f t="shared" si="323"/>
        <v>72.638345894400018</v>
      </c>
      <c r="K696" s="38">
        <f t="shared" si="323"/>
        <v>185.83711307165115</v>
      </c>
      <c r="L696" s="38">
        <f t="shared" si="323"/>
        <v>195.84955084482894</v>
      </c>
      <c r="M696" s="38">
        <f t="shared" si="323"/>
        <v>191.60691881760002</v>
      </c>
      <c r="N696" s="38">
        <f t="shared" si="323"/>
        <v>177.58721009952009</v>
      </c>
      <c r="O696" s="38">
        <f t="shared" si="323"/>
        <v>224.44091860320006</v>
      </c>
      <c r="P696" s="38">
        <f t="shared" si="323"/>
        <v>0</v>
      </c>
      <c r="Q696" s="38">
        <f t="shared" si="323"/>
        <v>0</v>
      </c>
      <c r="R696" s="38">
        <f t="shared" si="323"/>
        <v>0</v>
      </c>
      <c r="S696" s="38">
        <f t="shared" si="323"/>
        <v>0</v>
      </c>
      <c r="T696" s="38">
        <f t="shared" si="323"/>
        <v>0</v>
      </c>
      <c r="U696" s="38">
        <f t="shared" si="323"/>
        <v>0</v>
      </c>
      <c r="V696" s="38">
        <f t="shared" si="323"/>
        <v>0</v>
      </c>
      <c r="W696" s="38">
        <f t="shared" si="323"/>
        <v>0</v>
      </c>
    </row>
    <row r="697" spans="2:23">
      <c r="B697" t="str">
        <f t="shared" si="322"/>
        <v>Caja</v>
      </c>
      <c r="I697" s="38">
        <f t="shared" ref="I697:W697" si="324">+$D694*G$607*(1+INFLACION)^($C694-$G$4)</f>
        <v>0</v>
      </c>
      <c r="J697" s="38">
        <f t="shared" si="324"/>
        <v>0</v>
      </c>
      <c r="K697" s="38">
        <f t="shared" si="324"/>
        <v>242.12781964800004</v>
      </c>
      <c r="L697" s="38">
        <f t="shared" si="324"/>
        <v>0</v>
      </c>
      <c r="M697" s="38">
        <f t="shared" si="324"/>
        <v>249.64375313280004</v>
      </c>
      <c r="N697" s="38">
        <f t="shared" si="324"/>
        <v>256.93392641280008</v>
      </c>
      <c r="O697" s="38">
        <f t="shared" si="324"/>
        <v>299.25455813760004</v>
      </c>
      <c r="P697" s="38">
        <f t="shared" si="324"/>
        <v>0</v>
      </c>
      <c r="Q697" s="38">
        <f t="shared" si="324"/>
        <v>0</v>
      </c>
      <c r="R697" s="38">
        <f t="shared" si="324"/>
        <v>0</v>
      </c>
      <c r="S697" s="38">
        <f t="shared" si="324"/>
        <v>0</v>
      </c>
      <c r="T697" s="38">
        <f t="shared" si="324"/>
        <v>0</v>
      </c>
      <c r="U697" s="38">
        <f t="shared" si="324"/>
        <v>0</v>
      </c>
      <c r="V697" s="38">
        <f t="shared" si="324"/>
        <v>0</v>
      </c>
      <c r="W697" s="38">
        <f t="shared" si="324"/>
        <v>0</v>
      </c>
    </row>
    <row r="699" spans="2:23">
      <c r="B699" t="str">
        <f t="shared" si="322"/>
        <v>Preconstrucción</v>
      </c>
    </row>
    <row r="700" spans="2:23">
      <c r="B700" t="str">
        <f t="shared" si="322"/>
        <v>Ventas</v>
      </c>
      <c r="I700" s="38">
        <f t="shared" ref="I700:W700" si="325">$D694*G$610*(1+INFLACION)^($C694-$G$4)</f>
        <v>0</v>
      </c>
      <c r="J700" s="38">
        <f t="shared" si="325"/>
        <v>29.05533835776</v>
      </c>
      <c r="K700" s="38">
        <f t="shared" si="325"/>
        <v>74.334845228660441</v>
      </c>
      <c r="L700" s="38">
        <f t="shared" si="325"/>
        <v>78.339820337931542</v>
      </c>
      <c r="M700" s="38">
        <f t="shared" si="325"/>
        <v>76.642767527039979</v>
      </c>
      <c r="N700" s="38">
        <f t="shared" si="325"/>
        <v>71.034884039808034</v>
      </c>
      <c r="O700" s="38">
        <f t="shared" si="325"/>
        <v>89.776367441279987</v>
      </c>
      <c r="P700" s="38">
        <f t="shared" si="325"/>
        <v>0</v>
      </c>
      <c r="Q700" s="38">
        <f t="shared" si="325"/>
        <v>0</v>
      </c>
      <c r="R700" s="38">
        <f t="shared" si="325"/>
        <v>0</v>
      </c>
      <c r="S700" s="38">
        <f t="shared" si="325"/>
        <v>0</v>
      </c>
      <c r="T700" s="38">
        <f t="shared" si="325"/>
        <v>0</v>
      </c>
      <c r="U700" s="38">
        <f t="shared" si="325"/>
        <v>0</v>
      </c>
      <c r="V700" s="38">
        <f t="shared" si="325"/>
        <v>0</v>
      </c>
      <c r="W700" s="38">
        <f t="shared" si="325"/>
        <v>0</v>
      </c>
    </row>
    <row r="701" spans="2:23">
      <c r="B701" t="str">
        <f t="shared" si="322"/>
        <v>Caja</v>
      </c>
      <c r="I701" s="38">
        <f t="shared" ref="I701:W701" si="326">+$D694*G$611*(1+INFLACION)^($C694-$G$4)</f>
        <v>0</v>
      </c>
      <c r="J701" s="38">
        <f t="shared" si="326"/>
        <v>0</v>
      </c>
      <c r="K701" s="38">
        <f t="shared" si="326"/>
        <v>96.851127859200005</v>
      </c>
      <c r="L701" s="38">
        <f t="shared" si="326"/>
        <v>0</v>
      </c>
      <c r="M701" s="38">
        <f t="shared" si="326"/>
        <v>99.85750125312002</v>
      </c>
      <c r="N701" s="38">
        <f t="shared" si="326"/>
        <v>102.77357056512001</v>
      </c>
      <c r="O701" s="38">
        <f t="shared" si="326"/>
        <v>119.70182325504</v>
      </c>
      <c r="P701" s="38">
        <f t="shared" si="326"/>
        <v>0</v>
      </c>
      <c r="Q701" s="38">
        <f t="shared" si="326"/>
        <v>0</v>
      </c>
      <c r="R701" s="38">
        <f t="shared" si="326"/>
        <v>0</v>
      </c>
      <c r="S701" s="38">
        <f t="shared" si="326"/>
        <v>0</v>
      </c>
      <c r="T701" s="38">
        <f t="shared" si="326"/>
        <v>0</v>
      </c>
      <c r="U701" s="38">
        <f t="shared" si="326"/>
        <v>0</v>
      </c>
      <c r="V701" s="38">
        <f t="shared" si="326"/>
        <v>0</v>
      </c>
      <c r="W701" s="38">
        <f t="shared" si="326"/>
        <v>0</v>
      </c>
    </row>
    <row r="703" spans="2:23">
      <c r="B703" t="str">
        <f t="shared" si="322"/>
        <v>Construccion</v>
      </c>
    </row>
    <row r="704" spans="2:23">
      <c r="B704" t="str">
        <f t="shared" si="322"/>
        <v>Ventas</v>
      </c>
      <c r="I704" s="38">
        <f t="shared" ref="I704:W704" si="327">+$D694*G$614*(1+INFLACION)^($C694-$G$4)</f>
        <v>0</v>
      </c>
      <c r="J704" s="38">
        <f t="shared" si="327"/>
        <v>7772.3030107007999</v>
      </c>
      <c r="K704" s="38">
        <f t="shared" si="327"/>
        <v>19884.571098666671</v>
      </c>
      <c r="L704" s="38">
        <f t="shared" si="327"/>
        <v>20955.901940396692</v>
      </c>
      <c r="M704" s="38">
        <f t="shared" si="327"/>
        <v>20501.940313483206</v>
      </c>
      <c r="N704" s="38">
        <f t="shared" si="327"/>
        <v>19001.831480648645</v>
      </c>
      <c r="O704" s="38">
        <f t="shared" si="327"/>
        <v>24015.178290542386</v>
      </c>
      <c r="P704" s="38">
        <f t="shared" si="327"/>
        <v>0</v>
      </c>
      <c r="Q704" s="38">
        <f t="shared" si="327"/>
        <v>0</v>
      </c>
      <c r="R704" s="38">
        <f t="shared" si="327"/>
        <v>0</v>
      </c>
      <c r="S704" s="38">
        <f t="shared" si="327"/>
        <v>0</v>
      </c>
      <c r="T704" s="38">
        <f t="shared" si="327"/>
        <v>0</v>
      </c>
      <c r="U704" s="38">
        <f t="shared" si="327"/>
        <v>0</v>
      </c>
      <c r="V704" s="38">
        <f t="shared" si="327"/>
        <v>0</v>
      </c>
      <c r="W704" s="38">
        <f t="shared" si="327"/>
        <v>0</v>
      </c>
    </row>
    <row r="705" spans="2:23">
      <c r="B705" t="str">
        <f t="shared" si="322"/>
        <v>Utilidad</v>
      </c>
      <c r="I705" s="38">
        <f t="shared" ref="I705:W705" si="328">+$D694*G$615*(1+INFLACION)^($C694-$G$4)</f>
        <v>0</v>
      </c>
      <c r="J705" s="38">
        <f t="shared" si="328"/>
        <v>508.46842126080003</v>
      </c>
      <c r="K705" s="38">
        <f t="shared" si="328"/>
        <v>1300.8597915015566</v>
      </c>
      <c r="L705" s="38">
        <f t="shared" si="328"/>
        <v>1370.946855913802</v>
      </c>
      <c r="M705" s="38">
        <f t="shared" si="328"/>
        <v>1341.2484317231997</v>
      </c>
      <c r="N705" s="38">
        <f t="shared" si="328"/>
        <v>1243.1104706966366</v>
      </c>
      <c r="O705" s="38">
        <f t="shared" si="328"/>
        <v>1571.0864302224029</v>
      </c>
      <c r="P705" s="38">
        <f t="shared" si="328"/>
        <v>0</v>
      </c>
      <c r="Q705" s="38">
        <f t="shared" si="328"/>
        <v>0</v>
      </c>
      <c r="R705" s="38">
        <f t="shared" si="328"/>
        <v>0</v>
      </c>
      <c r="S705" s="38">
        <f t="shared" si="328"/>
        <v>0</v>
      </c>
      <c r="T705" s="38">
        <f t="shared" si="328"/>
        <v>0</v>
      </c>
      <c r="U705" s="38">
        <f t="shared" si="328"/>
        <v>0</v>
      </c>
      <c r="V705" s="38">
        <f t="shared" si="328"/>
        <v>0</v>
      </c>
      <c r="W705" s="38">
        <f t="shared" si="328"/>
        <v>0</v>
      </c>
    </row>
    <row r="706" spans="2:23">
      <c r="B706" t="str">
        <f t="shared" si="322"/>
        <v>Caja</v>
      </c>
      <c r="I706" s="38">
        <f t="shared" ref="I706:W706" si="329">+$D694*G$616*(1+INFLACION)^($C694-$G$4)</f>
        <v>0</v>
      </c>
      <c r="J706" s="38">
        <f t="shared" si="329"/>
        <v>0</v>
      </c>
      <c r="K706" s="38">
        <f t="shared" si="329"/>
        <v>0</v>
      </c>
      <c r="L706" s="38">
        <f t="shared" si="329"/>
        <v>1694.894737535999</v>
      </c>
      <c r="M706" s="38">
        <f t="shared" si="329"/>
        <v>1747.5062719295984</v>
      </c>
      <c r="N706" s="38">
        <f t="shared" si="329"/>
        <v>1079.1224909337609</v>
      </c>
      <c r="O706" s="38">
        <f t="shared" si="329"/>
        <v>2814.1969009190366</v>
      </c>
      <c r="P706" s="38">
        <f t="shared" si="329"/>
        <v>0</v>
      </c>
      <c r="Q706" s="38">
        <f t="shared" si="329"/>
        <v>0</v>
      </c>
      <c r="R706" s="38">
        <f t="shared" si="329"/>
        <v>0</v>
      </c>
      <c r="S706" s="38">
        <f t="shared" si="329"/>
        <v>0</v>
      </c>
      <c r="T706" s="38">
        <f t="shared" si="329"/>
        <v>0</v>
      </c>
      <c r="U706" s="38">
        <f t="shared" si="329"/>
        <v>0</v>
      </c>
      <c r="V706" s="38">
        <f t="shared" si="329"/>
        <v>0</v>
      </c>
      <c r="W706" s="38">
        <f t="shared" si="329"/>
        <v>0</v>
      </c>
    </row>
    <row r="708" spans="2:23">
      <c r="B708" t="str">
        <f t="shared" si="322"/>
        <v>Inmobiliario</v>
      </c>
    </row>
    <row r="709" spans="2:23">
      <c r="B709" t="str">
        <f t="shared" si="322"/>
        <v>Ventas</v>
      </c>
      <c r="I709" s="38">
        <f t="shared" ref="I709:W709" si="330">+$D694*G$619*(1+INFLACION)^($C694-$G$4)</f>
        <v>0</v>
      </c>
      <c r="J709" s="38">
        <f t="shared" si="330"/>
        <v>4266.5368991731202</v>
      </c>
      <c r="K709" s="38">
        <f t="shared" si="330"/>
        <v>10901.361535076081</v>
      </c>
      <c r="L709" s="38">
        <f t="shared" si="330"/>
        <v>11334.662706719024</v>
      </c>
      <c r="M709" s="38">
        <f t="shared" si="330"/>
        <v>10956.180494544487</v>
      </c>
      <c r="N709" s="38">
        <f t="shared" si="330"/>
        <v>10060.079867481702</v>
      </c>
      <c r="O709" s="38">
        <f t="shared" si="330"/>
        <v>12602.268546435358</v>
      </c>
      <c r="P709" s="38">
        <f t="shared" si="330"/>
        <v>0</v>
      </c>
      <c r="Q709" s="38">
        <f t="shared" si="330"/>
        <v>0</v>
      </c>
      <c r="R709" s="38">
        <f t="shared" si="330"/>
        <v>0</v>
      </c>
      <c r="S709" s="38">
        <f t="shared" si="330"/>
        <v>0</v>
      </c>
      <c r="T709" s="38">
        <f t="shared" si="330"/>
        <v>0</v>
      </c>
      <c r="U709" s="38">
        <f t="shared" si="330"/>
        <v>0</v>
      </c>
      <c r="V709" s="38">
        <f t="shared" si="330"/>
        <v>0</v>
      </c>
      <c r="W709" s="38">
        <f t="shared" si="330"/>
        <v>0</v>
      </c>
    </row>
    <row r="710" spans="2:23">
      <c r="B710" t="str">
        <f t="shared" si="322"/>
        <v>Utilidad</v>
      </c>
      <c r="I710" s="38">
        <f t="shared" ref="I710:W710" si="331">$D694*G$620*(1+INFLACION)^($C694-$G$4)</f>
        <v>0</v>
      </c>
      <c r="J710" s="38">
        <f t="shared" si="331"/>
        <v>876.97209600000076</v>
      </c>
      <c r="K710" s="38">
        <f t="shared" si="331"/>
        <v>2243.635376856776</v>
      </c>
      <c r="L710" s="38">
        <f t="shared" si="331"/>
        <v>2364.5168263432256</v>
      </c>
      <c r="M710" s="38">
        <f t="shared" si="331"/>
        <v>2313.2949840000001</v>
      </c>
      <c r="N710" s="38">
        <f t="shared" si="331"/>
        <v>2144.0332368000068</v>
      </c>
      <c r="O710" s="38">
        <f t="shared" si="331"/>
        <v>2709.7040879999986</v>
      </c>
      <c r="P710" s="38">
        <f t="shared" si="331"/>
        <v>0</v>
      </c>
      <c r="Q710" s="38">
        <f t="shared" si="331"/>
        <v>0</v>
      </c>
      <c r="R710" s="38">
        <f t="shared" si="331"/>
        <v>0</v>
      </c>
      <c r="S710" s="38">
        <f t="shared" si="331"/>
        <v>0</v>
      </c>
      <c r="T710" s="38">
        <f t="shared" si="331"/>
        <v>0</v>
      </c>
      <c r="U710" s="38">
        <f t="shared" si="331"/>
        <v>0</v>
      </c>
      <c r="V710" s="38">
        <f t="shared" si="331"/>
        <v>0</v>
      </c>
      <c r="W710" s="38">
        <f t="shared" si="331"/>
        <v>0</v>
      </c>
    </row>
    <row r="711" spans="2:23">
      <c r="B711" t="str">
        <f t="shared" si="322"/>
        <v>Caja</v>
      </c>
      <c r="I711" s="38">
        <f t="shared" ref="I711:W711" si="332">+$D694*G$621*(1+INFLACION)^($C694-$G$4)</f>
        <v>0</v>
      </c>
      <c r="J711" s="38">
        <f t="shared" si="332"/>
        <v>0</v>
      </c>
      <c r="K711" s="38">
        <f t="shared" si="332"/>
        <v>0</v>
      </c>
      <c r="L711" s="38">
        <f t="shared" si="332"/>
        <v>2923.2403200000022</v>
      </c>
      <c r="M711" s="38">
        <f t="shared" si="332"/>
        <v>3013.9811520000012</v>
      </c>
      <c r="N711" s="38">
        <f t="shared" si="332"/>
        <v>1861.1978111999988</v>
      </c>
      <c r="O711" s="38">
        <f t="shared" si="332"/>
        <v>4853.737324800004</v>
      </c>
      <c r="P711" s="38">
        <f t="shared" si="332"/>
        <v>0</v>
      </c>
      <c r="Q711" s="38">
        <f t="shared" si="332"/>
        <v>0</v>
      </c>
      <c r="R711" s="38">
        <f t="shared" si="332"/>
        <v>0</v>
      </c>
      <c r="S711" s="38">
        <f t="shared" si="332"/>
        <v>0</v>
      </c>
      <c r="T711" s="38">
        <f t="shared" si="332"/>
        <v>0</v>
      </c>
      <c r="U711" s="38">
        <f t="shared" si="332"/>
        <v>0</v>
      </c>
      <c r="V711" s="38">
        <f t="shared" si="332"/>
        <v>0</v>
      </c>
      <c r="W711" s="38">
        <f t="shared" si="332"/>
        <v>0</v>
      </c>
    </row>
    <row r="713" spans="2:23">
      <c r="B713" t="str">
        <f t="shared" si="322"/>
        <v>utilidad como inversionista</v>
      </c>
    </row>
    <row r="714" spans="2:23">
      <c r="B714" t="str">
        <f t="shared" si="322"/>
        <v>Ventas</v>
      </c>
      <c r="I714" s="38">
        <f t="shared" ref="I714:W714" si="333">+$D694*G$624*(1+INFLACION)^($C694-$G$4)*$E694</f>
        <v>0</v>
      </c>
      <c r="J714" s="38">
        <f t="shared" si="333"/>
        <v>438.48604800000015</v>
      </c>
      <c r="K714" s="38">
        <f t="shared" si="333"/>
        <v>1135.9153422038714</v>
      </c>
      <c r="L714" s="38">
        <f t="shared" si="333"/>
        <v>1351.1524721961291</v>
      </c>
      <c r="M714" s="38">
        <f t="shared" si="333"/>
        <v>1454.8255488000002</v>
      </c>
      <c r="N714" s="38">
        <f t="shared" si="333"/>
        <v>1442.8238448000002</v>
      </c>
      <c r="O714" s="38">
        <f t="shared" si="333"/>
        <v>1935.5029199999997</v>
      </c>
      <c r="P714" s="38">
        <f t="shared" si="333"/>
        <v>0</v>
      </c>
      <c r="Q714" s="38">
        <f t="shared" si="333"/>
        <v>0</v>
      </c>
      <c r="R714" s="38">
        <f t="shared" si="333"/>
        <v>0</v>
      </c>
      <c r="S714" s="38">
        <f t="shared" si="333"/>
        <v>0</v>
      </c>
      <c r="T714" s="38">
        <f t="shared" si="333"/>
        <v>0</v>
      </c>
      <c r="U714" s="38">
        <f t="shared" si="333"/>
        <v>0</v>
      </c>
      <c r="V714" s="38">
        <f t="shared" si="333"/>
        <v>0</v>
      </c>
      <c r="W714" s="38">
        <f t="shared" si="333"/>
        <v>0</v>
      </c>
    </row>
    <row r="715" spans="2:23">
      <c r="B715" t="str">
        <f t="shared" si="322"/>
        <v>Caja</v>
      </c>
      <c r="I715" s="38">
        <f t="shared" ref="I715:W715" si="334">+$D694*G$625*(1+INFLACION)^($C694-$G$4)*$E694</f>
        <v>0</v>
      </c>
      <c r="J715" s="38">
        <f t="shared" si="334"/>
        <v>0</v>
      </c>
      <c r="K715" s="38">
        <f t="shared" si="334"/>
        <v>0</v>
      </c>
      <c r="L715" s="38">
        <f t="shared" si="334"/>
        <v>0</v>
      </c>
      <c r="M715" s="38">
        <f t="shared" si="334"/>
        <v>0</v>
      </c>
      <c r="N715" s="38">
        <f t="shared" si="334"/>
        <v>1722.274944</v>
      </c>
      <c r="O715" s="38">
        <f t="shared" si="334"/>
        <v>3455.7606719999999</v>
      </c>
      <c r="P715" s="38">
        <f t="shared" si="334"/>
        <v>2580.67056</v>
      </c>
      <c r="Q715" s="38">
        <f t="shared" si="334"/>
        <v>0</v>
      </c>
      <c r="R715" s="38">
        <f t="shared" si="334"/>
        <v>0</v>
      </c>
      <c r="S715" s="38">
        <f t="shared" si="334"/>
        <v>0</v>
      </c>
      <c r="T715" s="38">
        <f t="shared" si="334"/>
        <v>0</v>
      </c>
      <c r="U715" s="38">
        <f t="shared" si="334"/>
        <v>0</v>
      </c>
      <c r="V715" s="38">
        <f t="shared" si="334"/>
        <v>0</v>
      </c>
      <c r="W715" s="38">
        <f t="shared" si="334"/>
        <v>0</v>
      </c>
    </row>
    <row r="717" spans="2:23">
      <c r="B717" t="str">
        <f t="shared" si="322"/>
        <v>Inversiones en proyectos caja</v>
      </c>
      <c r="I717" s="38">
        <f t="shared" ref="I717:W717" si="335">$D694*G$627*(1+INFLACION)^($C694-$G$4)*$E694</f>
        <v>4542.72</v>
      </c>
      <c r="J717" s="38">
        <f t="shared" si="335"/>
        <v>1297.92</v>
      </c>
      <c r="K717" s="38">
        <f t="shared" si="335"/>
        <v>0</v>
      </c>
      <c r="L717" s="38">
        <f t="shared" si="335"/>
        <v>0</v>
      </c>
      <c r="M717" s="38">
        <f t="shared" si="335"/>
        <v>0</v>
      </c>
      <c r="N717" s="38">
        <f t="shared" si="335"/>
        <v>0</v>
      </c>
      <c r="O717" s="38">
        <f t="shared" si="335"/>
        <v>0</v>
      </c>
      <c r="P717" s="38">
        <f t="shared" si="335"/>
        <v>0</v>
      </c>
      <c r="Q717" s="38">
        <f t="shared" si="335"/>
        <v>0</v>
      </c>
      <c r="R717" s="38">
        <f t="shared" si="335"/>
        <v>0</v>
      </c>
      <c r="S717" s="38">
        <f t="shared" si="335"/>
        <v>0</v>
      </c>
      <c r="T717" s="38">
        <f t="shared" si="335"/>
        <v>0</v>
      </c>
      <c r="U717" s="38">
        <f t="shared" si="335"/>
        <v>0</v>
      </c>
      <c r="V717" s="38">
        <f t="shared" si="335"/>
        <v>0</v>
      </c>
      <c r="W717" s="38">
        <f t="shared" si="335"/>
        <v>0</v>
      </c>
    </row>
    <row r="718" spans="2:23">
      <c r="B718" t="str">
        <f t="shared" si="322"/>
        <v>DesInversiones en proyectos caja</v>
      </c>
      <c r="I718" s="38">
        <f t="shared" ref="I718:T718" si="336">+$D694*G$628*(1+INFLACION)^($C694-$G$4)*$E694</f>
        <v>0</v>
      </c>
      <c r="J718" s="38">
        <f t="shared" si="336"/>
        <v>0</v>
      </c>
      <c r="K718" s="38">
        <f t="shared" si="336"/>
        <v>0</v>
      </c>
      <c r="L718" s="38">
        <f t="shared" si="336"/>
        <v>0</v>
      </c>
      <c r="M718" s="38">
        <f t="shared" si="336"/>
        <v>4542.72</v>
      </c>
      <c r="N718" s="38">
        <f t="shared" si="336"/>
        <v>1297.92</v>
      </c>
      <c r="O718" s="38">
        <f t="shared" si="336"/>
        <v>0</v>
      </c>
      <c r="P718" s="38">
        <f t="shared" si="336"/>
        <v>0</v>
      </c>
      <c r="Q718" s="38">
        <f t="shared" si="336"/>
        <v>0</v>
      </c>
      <c r="R718" s="38">
        <f t="shared" si="336"/>
        <v>0</v>
      </c>
      <c r="S718" s="38">
        <f t="shared" si="336"/>
        <v>0</v>
      </c>
      <c r="T718" s="38">
        <f t="shared" si="336"/>
        <v>0</v>
      </c>
    </row>
    <row r="719" spans="2:23">
      <c r="B719" t="str">
        <f>+B689</f>
        <v>Escrituración</v>
      </c>
      <c r="I719" s="38">
        <f t="shared" ref="I719:W719" si="337">+$D694*G$629*(1+INFLACION)^($C694-$G$4)</f>
        <v>0</v>
      </c>
      <c r="J719" s="38">
        <f t="shared" si="337"/>
        <v>0</v>
      </c>
      <c r="K719" s="38">
        <f t="shared" si="337"/>
        <v>0</v>
      </c>
      <c r="L719" s="38">
        <f t="shared" si="337"/>
        <v>41930.065473753602</v>
      </c>
      <c r="M719" s="38">
        <f t="shared" si="337"/>
        <v>43231.624227192973</v>
      </c>
      <c r="N719" s="38">
        <f t="shared" si="337"/>
        <v>44494.087348488953</v>
      </c>
      <c r="O719" s="38">
        <f t="shared" si="337"/>
        <v>51822.889390696328</v>
      </c>
      <c r="P719" s="38">
        <f t="shared" si="337"/>
        <v>0</v>
      </c>
      <c r="Q719" s="38">
        <f t="shared" si="337"/>
        <v>0</v>
      </c>
      <c r="R719" s="38">
        <f t="shared" si="337"/>
        <v>0</v>
      </c>
      <c r="S719" s="38">
        <f t="shared" si="337"/>
        <v>0</v>
      </c>
      <c r="T719" s="38">
        <f t="shared" si="337"/>
        <v>0</v>
      </c>
      <c r="U719" s="38">
        <f t="shared" si="337"/>
        <v>0</v>
      </c>
      <c r="V719" s="38">
        <f t="shared" si="337"/>
        <v>0</v>
      </c>
      <c r="W719" s="38">
        <f t="shared" si="337"/>
        <v>0</v>
      </c>
    </row>
    <row r="720" spans="2:23">
      <c r="B720" t="s">
        <v>359</v>
      </c>
      <c r="I720" s="38">
        <f t="shared" ref="I720:T720" si="338">+$D694*G$630*(1+INFLACION)^($C694-$G$4)</f>
        <v>0</v>
      </c>
      <c r="J720" s="38">
        <f t="shared" si="338"/>
        <v>0</v>
      </c>
      <c r="K720" s="38">
        <f t="shared" si="338"/>
        <v>0</v>
      </c>
      <c r="L720" s="38">
        <f t="shared" si="338"/>
        <v>27144.374400000004</v>
      </c>
      <c r="M720" s="38">
        <f t="shared" si="338"/>
        <v>27986.967840000005</v>
      </c>
      <c r="N720" s="38">
        <f t="shared" si="338"/>
        <v>28804.251840000004</v>
      </c>
      <c r="O720" s="38">
        <f t="shared" si="338"/>
        <v>33548.717280000004</v>
      </c>
      <c r="P720" s="38">
        <f t="shared" si="338"/>
        <v>0</v>
      </c>
      <c r="Q720" s="38">
        <f t="shared" si="338"/>
        <v>0</v>
      </c>
      <c r="R720" s="38">
        <f t="shared" si="338"/>
        <v>0</v>
      </c>
      <c r="S720" s="38">
        <f t="shared" si="338"/>
        <v>0</v>
      </c>
      <c r="T720" s="38">
        <f t="shared" si="338"/>
        <v>0</v>
      </c>
    </row>
    <row r="723" spans="2:21">
      <c r="C723" t="s">
        <v>615</v>
      </c>
      <c r="D723" t="s">
        <v>616</v>
      </c>
      <c r="E723" t="s">
        <v>617</v>
      </c>
    </row>
    <row r="724" spans="2:21">
      <c r="B724" t="s">
        <v>618</v>
      </c>
      <c r="C724">
        <f>+C694+1</f>
        <v>2022</v>
      </c>
      <c r="D724">
        <f>+VLOOKUP(C724,$B$545:$C$567,2,FALSE)</f>
        <v>3</v>
      </c>
      <c r="E724" s="55">
        <f>+HLOOKUP('Proyectos Inmob detall'!C724,Proyecciones!$G$56:$AG$57,2,FALSE)</f>
        <v>1</v>
      </c>
    </row>
    <row r="725" spans="2:21">
      <c r="B725" t="str">
        <f>+B695</f>
        <v>Arquitectura</v>
      </c>
      <c r="E725" s="55"/>
    </row>
    <row r="726" spans="2:21">
      <c r="B726" t="str">
        <f t="shared" ref="B726:B748" si="339">+B696</f>
        <v>Ventas</v>
      </c>
      <c r="E726" s="55"/>
      <c r="J726" s="38">
        <f t="shared" ref="J726:U726" si="340">+$D724*G$606*(1+INFLACION)^($C724-$G$4)</f>
        <v>0</v>
      </c>
      <c r="K726" s="38">
        <f t="shared" si="340"/>
        <v>75.543879730176016</v>
      </c>
      <c r="L726" s="38">
        <f t="shared" si="340"/>
        <v>193.27059759451717</v>
      </c>
      <c r="M726" s="38">
        <f t="shared" si="340"/>
        <v>203.68353287862209</v>
      </c>
      <c r="N726" s="38">
        <f t="shared" si="340"/>
        <v>199.271195570304</v>
      </c>
      <c r="O726" s="38">
        <f t="shared" si="340"/>
        <v>184.6906985035009</v>
      </c>
      <c r="P726" s="38">
        <f t="shared" si="340"/>
        <v>233.41855534732807</v>
      </c>
      <c r="Q726" s="38">
        <f t="shared" si="340"/>
        <v>0</v>
      </c>
      <c r="R726" s="38">
        <f t="shared" si="340"/>
        <v>0</v>
      </c>
      <c r="S726" s="38">
        <f t="shared" si="340"/>
        <v>0</v>
      </c>
      <c r="T726" s="38">
        <f t="shared" si="340"/>
        <v>0</v>
      </c>
      <c r="U726" s="38">
        <f t="shared" si="340"/>
        <v>0</v>
      </c>
    </row>
    <row r="727" spans="2:21">
      <c r="B727" t="str">
        <f t="shared" si="339"/>
        <v>Caja</v>
      </c>
      <c r="E727" s="55"/>
      <c r="J727" s="38">
        <f t="shared" ref="J727:U727" si="341">+$D724*G$607*(1+INFLACION)^($C724-$G$4)</f>
        <v>0</v>
      </c>
      <c r="K727" s="38">
        <f t="shared" si="341"/>
        <v>0</v>
      </c>
      <c r="L727" s="38">
        <f t="shared" si="341"/>
        <v>251.81293243392003</v>
      </c>
      <c r="M727" s="38">
        <f t="shared" si="341"/>
        <v>0</v>
      </c>
      <c r="N727" s="38">
        <f t="shared" si="341"/>
        <v>259.62950325811204</v>
      </c>
      <c r="O727" s="38">
        <f t="shared" si="341"/>
        <v>267.21128346931204</v>
      </c>
      <c r="P727" s="38">
        <f t="shared" si="341"/>
        <v>311.22474046310401</v>
      </c>
      <c r="Q727" s="38">
        <f t="shared" si="341"/>
        <v>0</v>
      </c>
      <c r="R727" s="38">
        <f t="shared" si="341"/>
        <v>0</v>
      </c>
      <c r="S727" s="38">
        <f t="shared" si="341"/>
        <v>0</v>
      </c>
      <c r="T727" s="38">
        <f t="shared" si="341"/>
        <v>0</v>
      </c>
      <c r="U727" s="38">
        <f t="shared" si="341"/>
        <v>0</v>
      </c>
    </row>
    <row r="728" spans="2:21">
      <c r="E728" s="55"/>
    </row>
    <row r="729" spans="2:21">
      <c r="B729" t="str">
        <f t="shared" si="339"/>
        <v>Preconstrucción</v>
      </c>
      <c r="E729" s="55"/>
    </row>
    <row r="730" spans="2:21">
      <c r="B730" t="str">
        <f t="shared" si="339"/>
        <v>Ventas</v>
      </c>
      <c r="E730" s="55"/>
      <c r="J730" s="38">
        <f t="shared" ref="J730:U730" si="342">$D724*G$610*(1+INFLACION)^($C724-$G$4)</f>
        <v>0</v>
      </c>
      <c r="K730" s="38">
        <f t="shared" si="342"/>
        <v>30.2175518920704</v>
      </c>
      <c r="L730" s="38">
        <f t="shared" si="342"/>
        <v>77.308239037806857</v>
      </c>
      <c r="M730" s="38">
        <f t="shared" si="342"/>
        <v>81.473413151448796</v>
      </c>
      <c r="N730" s="38">
        <f t="shared" si="342"/>
        <v>79.708478228121578</v>
      </c>
      <c r="O730" s="38">
        <f t="shared" si="342"/>
        <v>73.876279401400353</v>
      </c>
      <c r="P730" s="38">
        <f t="shared" si="342"/>
        <v>93.36742213893119</v>
      </c>
      <c r="Q730" s="38">
        <f t="shared" si="342"/>
        <v>0</v>
      </c>
      <c r="R730" s="38">
        <f t="shared" si="342"/>
        <v>0</v>
      </c>
      <c r="S730" s="38">
        <f t="shared" si="342"/>
        <v>0</v>
      </c>
      <c r="T730" s="38">
        <f t="shared" si="342"/>
        <v>0</v>
      </c>
      <c r="U730" s="38">
        <f t="shared" si="342"/>
        <v>0</v>
      </c>
    </row>
    <row r="731" spans="2:21">
      <c r="B731" t="str">
        <f t="shared" si="339"/>
        <v>Caja</v>
      </c>
      <c r="E731" s="55"/>
      <c r="J731" s="38">
        <f t="shared" ref="J731:U731" si="343">+$D724*G$611*(1+INFLACION)^($C724-$G$4)</f>
        <v>0</v>
      </c>
      <c r="K731" s="38">
        <f t="shared" si="343"/>
        <v>0</v>
      </c>
      <c r="L731" s="38">
        <f t="shared" si="343"/>
        <v>100.72517297356799</v>
      </c>
      <c r="M731" s="38">
        <f t="shared" si="343"/>
        <v>0</v>
      </c>
      <c r="N731" s="38">
        <f t="shared" si="343"/>
        <v>103.85180130324481</v>
      </c>
      <c r="O731" s="38">
        <f t="shared" si="343"/>
        <v>106.88451338772481</v>
      </c>
      <c r="P731" s="38">
        <f t="shared" si="343"/>
        <v>124.48989618524161</v>
      </c>
      <c r="Q731" s="38">
        <f t="shared" si="343"/>
        <v>0</v>
      </c>
      <c r="R731" s="38">
        <f t="shared" si="343"/>
        <v>0</v>
      </c>
      <c r="S731" s="38">
        <f t="shared" si="343"/>
        <v>0</v>
      </c>
      <c r="T731" s="38">
        <f t="shared" si="343"/>
        <v>0</v>
      </c>
      <c r="U731" s="38">
        <f t="shared" si="343"/>
        <v>0</v>
      </c>
    </row>
    <row r="732" spans="2:21">
      <c r="E732" s="55"/>
    </row>
    <row r="733" spans="2:21">
      <c r="B733" t="str">
        <f t="shared" si="339"/>
        <v>Construccion</v>
      </c>
      <c r="E733" s="55"/>
    </row>
    <row r="734" spans="2:21">
      <c r="B734" t="str">
        <f t="shared" si="339"/>
        <v>Ventas</v>
      </c>
      <c r="E734" s="55"/>
      <c r="J734" s="38">
        <f t="shared" ref="J734:U734" si="344">+$D724*G$614*(1+INFLACION)^($C724-$G$4)</f>
        <v>0</v>
      </c>
      <c r="K734" s="38">
        <f t="shared" si="344"/>
        <v>8083.1951311288312</v>
      </c>
      <c r="L734" s="38">
        <f t="shared" si="344"/>
        <v>20679.953942613338</v>
      </c>
      <c r="M734" s="38">
        <f t="shared" si="344"/>
        <v>21794.13801801256</v>
      </c>
      <c r="N734" s="38">
        <f t="shared" si="344"/>
        <v>21322.017926022534</v>
      </c>
      <c r="O734" s="38">
        <f t="shared" si="344"/>
        <v>19761.90473987459</v>
      </c>
      <c r="P734" s="38">
        <f t="shared" si="344"/>
        <v>24975.785422164077</v>
      </c>
      <c r="Q734" s="38">
        <f t="shared" si="344"/>
        <v>0</v>
      </c>
      <c r="R734" s="38">
        <f t="shared" si="344"/>
        <v>0</v>
      </c>
      <c r="S734" s="38">
        <f t="shared" si="344"/>
        <v>0</v>
      </c>
      <c r="T734" s="38">
        <f t="shared" si="344"/>
        <v>0</v>
      </c>
      <c r="U734" s="38">
        <f t="shared" si="344"/>
        <v>0</v>
      </c>
    </row>
    <row r="735" spans="2:21">
      <c r="B735" t="str">
        <f t="shared" si="339"/>
        <v>Utilidad</v>
      </c>
      <c r="E735" s="55"/>
      <c r="J735" s="38">
        <f t="shared" ref="J735:U735" si="345">+$D724*G$615*(1+INFLACION)^($C724-$G$4)</f>
        <v>0</v>
      </c>
      <c r="K735" s="38">
        <f t="shared" si="345"/>
        <v>528.80715811123196</v>
      </c>
      <c r="L735" s="38">
        <f t="shared" si="345"/>
        <v>1352.8941831616189</v>
      </c>
      <c r="M735" s="38">
        <f t="shared" si="345"/>
        <v>1425.7847301503539</v>
      </c>
      <c r="N735" s="38">
        <f t="shared" si="345"/>
        <v>1394.8983689921279</v>
      </c>
      <c r="O735" s="38">
        <f t="shared" si="345"/>
        <v>1292.8348895245022</v>
      </c>
      <c r="P735" s="38">
        <f t="shared" si="345"/>
        <v>1633.929887431299</v>
      </c>
      <c r="Q735" s="38">
        <f t="shared" si="345"/>
        <v>0</v>
      </c>
      <c r="R735" s="38">
        <f t="shared" si="345"/>
        <v>0</v>
      </c>
      <c r="S735" s="38">
        <f t="shared" si="345"/>
        <v>0</v>
      </c>
      <c r="T735" s="38">
        <f t="shared" si="345"/>
        <v>0</v>
      </c>
      <c r="U735" s="38">
        <f t="shared" si="345"/>
        <v>0</v>
      </c>
    </row>
    <row r="736" spans="2:21">
      <c r="B736" t="str">
        <f t="shared" si="339"/>
        <v>Caja</v>
      </c>
      <c r="E736" s="55"/>
      <c r="J736" s="38">
        <f t="shared" ref="J736:U736" si="346">+$D724*G$616*(1+INFLACION)^($C724-$G$4)</f>
        <v>0</v>
      </c>
      <c r="K736" s="38">
        <f t="shared" si="346"/>
        <v>0</v>
      </c>
      <c r="L736" s="38">
        <f t="shared" si="346"/>
        <v>0</v>
      </c>
      <c r="M736" s="38">
        <f t="shared" si="346"/>
        <v>1762.6905270374389</v>
      </c>
      <c r="N736" s="38">
        <f t="shared" si="346"/>
        <v>1817.4065228067823</v>
      </c>
      <c r="O736" s="38">
        <f t="shared" si="346"/>
        <v>1122.2873905711112</v>
      </c>
      <c r="P736" s="38">
        <f t="shared" si="346"/>
        <v>2926.764776955798</v>
      </c>
      <c r="Q736" s="38">
        <f t="shared" si="346"/>
        <v>0</v>
      </c>
      <c r="R736" s="38">
        <f t="shared" si="346"/>
        <v>0</v>
      </c>
      <c r="S736" s="38">
        <f t="shared" si="346"/>
        <v>0</v>
      </c>
      <c r="T736" s="38">
        <f t="shared" si="346"/>
        <v>0</v>
      </c>
      <c r="U736" s="38">
        <f t="shared" si="346"/>
        <v>0</v>
      </c>
    </row>
    <row r="737" spans="2:25">
      <c r="E737" s="55"/>
    </row>
    <row r="738" spans="2:25">
      <c r="B738" t="str">
        <f t="shared" si="339"/>
        <v>Inmobiliario</v>
      </c>
      <c r="E738" s="55"/>
    </row>
    <row r="739" spans="2:25">
      <c r="B739" t="str">
        <f t="shared" si="339"/>
        <v>Ventas</v>
      </c>
      <c r="E739" s="55"/>
      <c r="J739" s="38">
        <f t="shared" ref="J739:U739" si="347">+$D724*G$619*(1+INFLACION)^($C724-$G$4)</f>
        <v>0</v>
      </c>
      <c r="K739" s="38">
        <f t="shared" si="347"/>
        <v>4437.1983751400448</v>
      </c>
      <c r="L739" s="38">
        <f t="shared" si="347"/>
        <v>11337.415996479123</v>
      </c>
      <c r="M739" s="38">
        <f t="shared" si="347"/>
        <v>11788.049214987785</v>
      </c>
      <c r="N739" s="38">
        <f t="shared" si="347"/>
        <v>11394.427714326266</v>
      </c>
      <c r="O739" s="38">
        <f t="shared" si="347"/>
        <v>10462.483062180971</v>
      </c>
      <c r="P739" s="38">
        <f t="shared" si="347"/>
        <v>13106.359288292773</v>
      </c>
      <c r="Q739" s="38">
        <f t="shared" si="347"/>
        <v>0</v>
      </c>
      <c r="R739" s="38">
        <f t="shared" si="347"/>
        <v>0</v>
      </c>
      <c r="S739" s="38">
        <f t="shared" si="347"/>
        <v>0</v>
      </c>
      <c r="T739" s="38">
        <f t="shared" si="347"/>
        <v>0</v>
      </c>
      <c r="U739" s="38">
        <f t="shared" si="347"/>
        <v>0</v>
      </c>
    </row>
    <row r="740" spans="2:25">
      <c r="B740" t="str">
        <f t="shared" si="339"/>
        <v>Utilidad</v>
      </c>
      <c r="E740" s="55"/>
      <c r="J740" s="38">
        <f t="shared" ref="J740:U740" si="348">$D724*G$620*(1+INFLACION)^($C724-$G$4)</f>
        <v>0</v>
      </c>
      <c r="K740" s="38">
        <f t="shared" si="348"/>
        <v>912.05097984000076</v>
      </c>
      <c r="L740" s="38">
        <f t="shared" si="348"/>
        <v>2333.380791931047</v>
      </c>
      <c r="M740" s="38">
        <f t="shared" si="348"/>
        <v>2459.0974993969544</v>
      </c>
      <c r="N740" s="38">
        <f t="shared" si="348"/>
        <v>2405.8267833599998</v>
      </c>
      <c r="O740" s="38">
        <f t="shared" si="348"/>
        <v>2229.7945662720067</v>
      </c>
      <c r="P740" s="38">
        <f t="shared" si="348"/>
        <v>2818.0922515199986</v>
      </c>
      <c r="Q740" s="38">
        <f t="shared" si="348"/>
        <v>0</v>
      </c>
      <c r="R740" s="38">
        <f t="shared" si="348"/>
        <v>0</v>
      </c>
      <c r="S740" s="38">
        <f t="shared" si="348"/>
        <v>0</v>
      </c>
      <c r="T740" s="38">
        <f t="shared" si="348"/>
        <v>0</v>
      </c>
      <c r="U740" s="38">
        <f t="shared" si="348"/>
        <v>0</v>
      </c>
    </row>
    <row r="741" spans="2:25">
      <c r="B741" t="str">
        <f t="shared" si="339"/>
        <v>Caja</v>
      </c>
      <c r="E741" s="55"/>
      <c r="J741" s="38">
        <f t="shared" ref="J741:U741" si="349">+$D724*G$621*(1+INFLACION)^($C724-$G$4)</f>
        <v>0</v>
      </c>
      <c r="K741" s="38">
        <f t="shared" si="349"/>
        <v>0</v>
      </c>
      <c r="L741" s="38">
        <f t="shared" si="349"/>
        <v>0</v>
      </c>
      <c r="M741" s="38">
        <f t="shared" si="349"/>
        <v>3040.1699328000022</v>
      </c>
      <c r="N741" s="38">
        <f t="shared" si="349"/>
        <v>3134.5403980800011</v>
      </c>
      <c r="O741" s="38">
        <f t="shared" si="349"/>
        <v>1935.6457236479987</v>
      </c>
      <c r="P741" s="38">
        <f t="shared" si="349"/>
        <v>5047.886817792004</v>
      </c>
      <c r="Q741" s="38">
        <f t="shared" si="349"/>
        <v>0</v>
      </c>
      <c r="R741" s="38">
        <f t="shared" si="349"/>
        <v>0</v>
      </c>
      <c r="S741" s="38">
        <f t="shared" si="349"/>
        <v>0</v>
      </c>
      <c r="T741" s="38">
        <f t="shared" si="349"/>
        <v>0</v>
      </c>
      <c r="U741" s="38">
        <f t="shared" si="349"/>
        <v>0</v>
      </c>
    </row>
    <row r="742" spans="2:25">
      <c r="E742" s="55"/>
    </row>
    <row r="743" spans="2:25">
      <c r="B743" t="str">
        <f t="shared" si="339"/>
        <v>utilidad como inversionista</v>
      </c>
      <c r="E743" s="55"/>
    </row>
    <row r="744" spans="2:25">
      <c r="B744" t="str">
        <f t="shared" si="339"/>
        <v>Ventas</v>
      </c>
      <c r="E744" s="55"/>
      <c r="J744" s="38">
        <f t="shared" ref="J744:U744" si="350">+$D724*G$624*(1+INFLACION)^($C724-$G$4)*$E724</f>
        <v>0</v>
      </c>
      <c r="K744" s="38">
        <f t="shared" si="350"/>
        <v>456.02548992000015</v>
      </c>
      <c r="L744" s="38">
        <f t="shared" si="350"/>
        <v>1181.3519558920261</v>
      </c>
      <c r="M744" s="38">
        <f t="shared" si="350"/>
        <v>1405.1985710839742</v>
      </c>
      <c r="N744" s="38">
        <f t="shared" si="350"/>
        <v>1513.0185707520002</v>
      </c>
      <c r="O744" s="38">
        <f t="shared" si="350"/>
        <v>1500.536798592</v>
      </c>
      <c r="P744" s="38">
        <f t="shared" si="350"/>
        <v>2012.9230367999996</v>
      </c>
      <c r="Q744" s="38">
        <f t="shared" si="350"/>
        <v>0</v>
      </c>
      <c r="R744" s="38">
        <f t="shared" si="350"/>
        <v>0</v>
      </c>
      <c r="S744" s="38">
        <f t="shared" si="350"/>
        <v>0</v>
      </c>
      <c r="T744" s="38">
        <f t="shared" si="350"/>
        <v>0</v>
      </c>
      <c r="U744" s="38">
        <f t="shared" si="350"/>
        <v>0</v>
      </c>
    </row>
    <row r="745" spans="2:25">
      <c r="B745" t="str">
        <f t="shared" si="339"/>
        <v>Caja</v>
      </c>
      <c r="E745" s="55"/>
      <c r="J745" s="38">
        <f t="shared" ref="J745:U745" si="351">+$D724*G$625*(1+INFLACION)^($C724-$G$4)*$E724</f>
        <v>0</v>
      </c>
      <c r="K745" s="38">
        <f t="shared" si="351"/>
        <v>0</v>
      </c>
      <c r="L745" s="38">
        <f t="shared" si="351"/>
        <v>0</v>
      </c>
      <c r="M745" s="38">
        <f t="shared" si="351"/>
        <v>0</v>
      </c>
      <c r="N745" s="38">
        <f t="shared" si="351"/>
        <v>0</v>
      </c>
      <c r="O745" s="38">
        <f t="shared" si="351"/>
        <v>1791.1659417600001</v>
      </c>
      <c r="P745" s="38">
        <f t="shared" si="351"/>
        <v>3593.9910988799998</v>
      </c>
      <c r="Q745" s="38">
        <f t="shared" si="351"/>
        <v>2683.8973824</v>
      </c>
      <c r="R745" s="38">
        <f t="shared" si="351"/>
        <v>0</v>
      </c>
      <c r="S745" s="38">
        <f t="shared" si="351"/>
        <v>0</v>
      </c>
      <c r="T745" s="38">
        <f t="shared" si="351"/>
        <v>0</v>
      </c>
      <c r="U745" s="38">
        <f t="shared" si="351"/>
        <v>0</v>
      </c>
    </row>
    <row r="746" spans="2:25">
      <c r="E746" s="55"/>
    </row>
    <row r="747" spans="2:25">
      <c r="B747" t="str">
        <f t="shared" si="339"/>
        <v>Inversiones en proyectos caja</v>
      </c>
      <c r="E747" s="55"/>
      <c r="J747" s="38">
        <f t="shared" ref="J747:U747" si="352">$D724*G$627*(1+INFLACION)^($C724-$G$4)*$E724</f>
        <v>4724.4288000000006</v>
      </c>
      <c r="K747" s="38">
        <f t="shared" si="352"/>
        <v>1349.8368</v>
      </c>
      <c r="L747" s="38">
        <f t="shared" si="352"/>
        <v>0</v>
      </c>
      <c r="M747" s="38">
        <f t="shared" si="352"/>
        <v>0</v>
      </c>
      <c r="N747" s="38">
        <f t="shared" si="352"/>
        <v>0</v>
      </c>
      <c r="O747" s="38">
        <f t="shared" si="352"/>
        <v>0</v>
      </c>
      <c r="P747" s="38">
        <f t="shared" si="352"/>
        <v>0</v>
      </c>
      <c r="Q747" s="38">
        <f t="shared" si="352"/>
        <v>0</v>
      </c>
      <c r="R747" s="38">
        <f t="shared" si="352"/>
        <v>0</v>
      </c>
      <c r="S747" s="38">
        <f t="shared" si="352"/>
        <v>0</v>
      </c>
      <c r="T747" s="38">
        <f t="shared" si="352"/>
        <v>0</v>
      </c>
      <c r="U747" s="38">
        <f t="shared" si="352"/>
        <v>0</v>
      </c>
    </row>
    <row r="748" spans="2:25">
      <c r="B748" t="str">
        <f t="shared" si="339"/>
        <v>DesInversiones en proyectos caja</v>
      </c>
      <c r="E748" s="55"/>
      <c r="J748" s="38">
        <f t="shared" ref="J748:U748" si="353">+$D724*G$628*(1+INFLACION)^($C724-$G$4)*$E724</f>
        <v>0</v>
      </c>
      <c r="K748" s="38">
        <f t="shared" si="353"/>
        <v>0</v>
      </c>
      <c r="L748" s="38">
        <f t="shared" si="353"/>
        <v>0</v>
      </c>
      <c r="M748" s="38">
        <f t="shared" si="353"/>
        <v>0</v>
      </c>
      <c r="N748" s="38">
        <f t="shared" si="353"/>
        <v>4724.4288000000006</v>
      </c>
      <c r="O748" s="38">
        <f t="shared" si="353"/>
        <v>1349.8368</v>
      </c>
      <c r="P748" s="38">
        <f t="shared" si="353"/>
        <v>0</v>
      </c>
      <c r="Q748" s="38">
        <f t="shared" si="353"/>
        <v>0</v>
      </c>
      <c r="R748" s="38">
        <f t="shared" si="353"/>
        <v>0</v>
      </c>
      <c r="S748" s="38">
        <f t="shared" si="353"/>
        <v>0</v>
      </c>
      <c r="T748" s="38">
        <f t="shared" si="353"/>
        <v>0</v>
      </c>
      <c r="U748" s="38">
        <f t="shared" si="353"/>
        <v>0</v>
      </c>
    </row>
    <row r="749" spans="2:25">
      <c r="B749" t="str">
        <f>+B719</f>
        <v>Escrituración</v>
      </c>
      <c r="J749" s="38">
        <f t="shared" ref="J749:Y749" si="354">+$D724*G$629*(1+INFLACION)^($C724-$G$4)</f>
        <v>0</v>
      </c>
      <c r="K749" s="38">
        <f t="shared" si="354"/>
        <v>0</v>
      </c>
      <c r="L749" s="38">
        <f t="shared" si="354"/>
        <v>0</v>
      </c>
      <c r="M749" s="38">
        <f t="shared" si="354"/>
        <v>43607.268092703751</v>
      </c>
      <c r="N749" s="38">
        <f t="shared" si="354"/>
        <v>44960.889196280688</v>
      </c>
      <c r="O749" s="38">
        <f t="shared" si="354"/>
        <v>46273.85084242851</v>
      </c>
      <c r="P749" s="38">
        <f t="shared" si="354"/>
        <v>53895.804966324184</v>
      </c>
      <c r="Q749" s="38">
        <f t="shared" si="354"/>
        <v>0</v>
      </c>
      <c r="R749" s="38">
        <f t="shared" si="354"/>
        <v>0</v>
      </c>
      <c r="S749" s="38">
        <f t="shared" si="354"/>
        <v>0</v>
      </c>
      <c r="T749" s="38">
        <f t="shared" si="354"/>
        <v>0</v>
      </c>
      <c r="U749" s="38">
        <f t="shared" si="354"/>
        <v>0</v>
      </c>
      <c r="V749" s="38">
        <f t="shared" si="354"/>
        <v>0</v>
      </c>
      <c r="W749" s="38">
        <f t="shared" si="354"/>
        <v>0</v>
      </c>
      <c r="X749" s="38">
        <f t="shared" si="354"/>
        <v>0</v>
      </c>
      <c r="Y749" s="38">
        <f t="shared" si="354"/>
        <v>0</v>
      </c>
    </row>
    <row r="750" spans="2:25">
      <c r="B750" t="s">
        <v>359</v>
      </c>
      <c r="E750" s="55"/>
      <c r="J750" s="38">
        <f t="shared" ref="J750:U750" si="355">+$D724*G$630*(1+INFLACION)^($C724-$G$4)</f>
        <v>0</v>
      </c>
      <c r="K750" s="38">
        <f t="shared" si="355"/>
        <v>0</v>
      </c>
      <c r="L750" s="38">
        <f t="shared" si="355"/>
        <v>0</v>
      </c>
      <c r="M750" s="38">
        <f t="shared" si="355"/>
        <v>28230.149376000001</v>
      </c>
      <c r="N750" s="38">
        <f t="shared" si="355"/>
        <v>29106.446553600003</v>
      </c>
      <c r="O750" s="38">
        <f t="shared" si="355"/>
        <v>29956.421913600003</v>
      </c>
      <c r="P750" s="38">
        <f t="shared" si="355"/>
        <v>34890.665971200004</v>
      </c>
      <c r="Q750" s="38">
        <f t="shared" si="355"/>
        <v>0</v>
      </c>
      <c r="R750" s="38">
        <f t="shared" si="355"/>
        <v>0</v>
      </c>
      <c r="S750" s="38">
        <f t="shared" si="355"/>
        <v>0</v>
      </c>
      <c r="T750" s="38">
        <f t="shared" si="355"/>
        <v>0</v>
      </c>
      <c r="U750" s="38">
        <f t="shared" si="355"/>
        <v>0</v>
      </c>
    </row>
    <row r="751" spans="2:25">
      <c r="E751" s="55"/>
    </row>
    <row r="752" spans="2:25">
      <c r="E752" s="55"/>
    </row>
    <row r="753" spans="2:22">
      <c r="C753" t="s">
        <v>615</v>
      </c>
      <c r="D753" t="s">
        <v>616</v>
      </c>
      <c r="E753" s="55" t="s">
        <v>617</v>
      </c>
    </row>
    <row r="754" spans="2:22">
      <c r="B754" t="s">
        <v>618</v>
      </c>
      <c r="C754">
        <f>+C724+1</f>
        <v>2023</v>
      </c>
      <c r="D754">
        <f>+VLOOKUP(C754,$B$545:$C$567,2,FALSE)</f>
        <v>3</v>
      </c>
      <c r="E754" s="55">
        <f>+HLOOKUP('Proyectos Inmob detall'!C754,Proyecciones!$G$56:$AG$57,2,FALSE)</f>
        <v>1</v>
      </c>
    </row>
    <row r="755" spans="2:22">
      <c r="B755" t="str">
        <f>+B725</f>
        <v>Arquitectura</v>
      </c>
      <c r="E755" s="55"/>
    </row>
    <row r="756" spans="2:22">
      <c r="B756" t="str">
        <f t="shared" ref="B756:B778" si="356">+B726</f>
        <v>Ventas</v>
      </c>
      <c r="E756" s="55"/>
      <c r="K756" s="38">
        <f t="shared" ref="K756:V756" si="357">+$D754*G$606*(1+INFLACION)^($C754-$G$4)</f>
        <v>0</v>
      </c>
      <c r="L756" s="38">
        <f t="shared" si="357"/>
        <v>78.565634919383058</v>
      </c>
      <c r="M756" s="38">
        <f t="shared" si="357"/>
        <v>201.00142149829787</v>
      </c>
      <c r="N756" s="38">
        <f t="shared" si="357"/>
        <v>211.83087419376699</v>
      </c>
      <c r="O756" s="38">
        <f t="shared" si="357"/>
        <v>207.24204339311618</v>
      </c>
      <c r="P756" s="38">
        <f t="shared" si="357"/>
        <v>192.07832644364095</v>
      </c>
      <c r="Q756" s="38">
        <f t="shared" si="357"/>
        <v>242.75529756122123</v>
      </c>
      <c r="R756" s="38">
        <f t="shared" si="357"/>
        <v>0</v>
      </c>
      <c r="S756" s="38">
        <f t="shared" si="357"/>
        <v>0</v>
      </c>
      <c r="T756" s="38">
        <f t="shared" si="357"/>
        <v>0</v>
      </c>
      <c r="U756" s="38">
        <f t="shared" si="357"/>
        <v>0</v>
      </c>
      <c r="V756" s="38">
        <f t="shared" si="357"/>
        <v>0</v>
      </c>
    </row>
    <row r="757" spans="2:22">
      <c r="B757" t="str">
        <f t="shared" si="356"/>
        <v>Caja</v>
      </c>
      <c r="E757" s="55"/>
      <c r="K757" s="38">
        <f t="shared" ref="K757:V757" si="358">+$D754*G$607*(1+INFLACION)^($C754-$G$4)</f>
        <v>0</v>
      </c>
      <c r="L757" s="38">
        <f t="shared" si="358"/>
        <v>0</v>
      </c>
      <c r="M757" s="38">
        <f t="shared" si="358"/>
        <v>261.88544973127688</v>
      </c>
      <c r="N757" s="38">
        <f t="shared" si="358"/>
        <v>0</v>
      </c>
      <c r="O757" s="38">
        <f t="shared" si="358"/>
        <v>270.01468338843654</v>
      </c>
      <c r="P757" s="38">
        <f t="shared" si="358"/>
        <v>277.89973480808459</v>
      </c>
      <c r="Q757" s="38">
        <f t="shared" si="358"/>
        <v>323.67373008162821</v>
      </c>
      <c r="R757" s="38">
        <f t="shared" si="358"/>
        <v>0</v>
      </c>
      <c r="S757" s="38">
        <f t="shared" si="358"/>
        <v>0</v>
      </c>
      <c r="T757" s="38">
        <f t="shared" si="358"/>
        <v>0</v>
      </c>
      <c r="U757" s="38">
        <f t="shared" si="358"/>
        <v>0</v>
      </c>
      <c r="V757" s="38">
        <f t="shared" si="358"/>
        <v>0</v>
      </c>
    </row>
    <row r="758" spans="2:22">
      <c r="E758" s="55"/>
    </row>
    <row r="759" spans="2:22">
      <c r="B759" t="str">
        <f t="shared" si="356"/>
        <v>Preconstrucción</v>
      </c>
      <c r="E759" s="55"/>
    </row>
    <row r="760" spans="2:22">
      <c r="B760" t="str">
        <f t="shared" si="356"/>
        <v>Ventas</v>
      </c>
      <c r="E760" s="55"/>
      <c r="K760" s="38">
        <f t="shared" ref="K760:V760" si="359">$D754*G$610*(1+INFLACION)^($C754-$G$4)</f>
        <v>0</v>
      </c>
      <c r="L760" s="38">
        <f t="shared" si="359"/>
        <v>31.426253967753219</v>
      </c>
      <c r="M760" s="38">
        <f t="shared" si="359"/>
        <v>80.400568599319143</v>
      </c>
      <c r="N760" s="38">
        <f t="shared" si="359"/>
        <v>84.732349677506761</v>
      </c>
      <c r="O760" s="38">
        <f t="shared" si="359"/>
        <v>82.896817357246448</v>
      </c>
      <c r="P760" s="38">
        <f t="shared" si="359"/>
        <v>76.831330577456384</v>
      </c>
      <c r="Q760" s="38">
        <f t="shared" si="359"/>
        <v>97.102119024488445</v>
      </c>
      <c r="R760" s="38">
        <f t="shared" si="359"/>
        <v>0</v>
      </c>
      <c r="S760" s="38">
        <f t="shared" si="359"/>
        <v>0</v>
      </c>
      <c r="T760" s="38">
        <f t="shared" si="359"/>
        <v>0</v>
      </c>
      <c r="U760" s="38">
        <f t="shared" si="359"/>
        <v>0</v>
      </c>
      <c r="V760" s="38">
        <f t="shared" si="359"/>
        <v>0</v>
      </c>
    </row>
    <row r="761" spans="2:22">
      <c r="B761" t="str">
        <f t="shared" si="356"/>
        <v>Caja</v>
      </c>
      <c r="E761" s="55"/>
      <c r="K761" s="38">
        <f t="shared" ref="K761:V761" si="360">+$D754*G$611*(1+INFLACION)^($C754-$G$4)</f>
        <v>0</v>
      </c>
      <c r="L761" s="38">
        <f t="shared" si="360"/>
        <v>0</v>
      </c>
      <c r="M761" s="38">
        <f t="shared" si="360"/>
        <v>104.75417989251073</v>
      </c>
      <c r="N761" s="38">
        <f t="shared" si="360"/>
        <v>0</v>
      </c>
      <c r="O761" s="38">
        <f t="shared" si="360"/>
        <v>108.00587335537462</v>
      </c>
      <c r="P761" s="38">
        <f t="shared" si="360"/>
        <v>111.15989392323381</v>
      </c>
      <c r="Q761" s="38">
        <f t="shared" si="360"/>
        <v>129.46949203265129</v>
      </c>
      <c r="R761" s="38">
        <f t="shared" si="360"/>
        <v>0</v>
      </c>
      <c r="S761" s="38">
        <f t="shared" si="360"/>
        <v>0</v>
      </c>
      <c r="T761" s="38">
        <f t="shared" si="360"/>
        <v>0</v>
      </c>
      <c r="U761" s="38">
        <f t="shared" si="360"/>
        <v>0</v>
      </c>
      <c r="V761" s="38">
        <f t="shared" si="360"/>
        <v>0</v>
      </c>
    </row>
    <row r="762" spans="2:22">
      <c r="E762" s="55"/>
    </row>
    <row r="763" spans="2:22">
      <c r="B763" t="str">
        <f t="shared" si="356"/>
        <v>Construccion</v>
      </c>
      <c r="E763" s="55"/>
    </row>
    <row r="764" spans="2:22">
      <c r="B764" t="str">
        <f t="shared" si="356"/>
        <v>Ventas</v>
      </c>
      <c r="E764" s="55"/>
      <c r="K764" s="38">
        <f t="shared" ref="K764:V764" si="361">+$D754*G$614*(1+INFLACION)^($C754-$G$4)</f>
        <v>0</v>
      </c>
      <c r="L764" s="38">
        <f t="shared" si="361"/>
        <v>8406.5229363739854</v>
      </c>
      <c r="M764" s="38">
        <f t="shared" si="361"/>
        <v>21507.152100317871</v>
      </c>
      <c r="N764" s="38">
        <f t="shared" si="361"/>
        <v>22665.903538733066</v>
      </c>
      <c r="O764" s="38">
        <f t="shared" si="361"/>
        <v>22174.898643063436</v>
      </c>
      <c r="P764" s="38">
        <f t="shared" si="361"/>
        <v>20552.380929469575</v>
      </c>
      <c r="Q764" s="38">
        <f t="shared" si="361"/>
        <v>25974.816839050643</v>
      </c>
      <c r="R764" s="38">
        <f t="shared" si="361"/>
        <v>0</v>
      </c>
      <c r="S764" s="38">
        <f t="shared" si="361"/>
        <v>0</v>
      </c>
      <c r="T764" s="38">
        <f t="shared" si="361"/>
        <v>0</v>
      </c>
      <c r="U764" s="38">
        <f t="shared" si="361"/>
        <v>0</v>
      </c>
      <c r="V764" s="38">
        <f t="shared" si="361"/>
        <v>0</v>
      </c>
    </row>
    <row r="765" spans="2:22">
      <c r="B765" t="str">
        <f t="shared" si="356"/>
        <v>Utilidad</v>
      </c>
      <c r="E765" s="55"/>
      <c r="K765" s="38">
        <f t="shared" ref="K765:V765" si="362">+$D754*G$615*(1+INFLACION)^($C754-$G$4)</f>
        <v>0</v>
      </c>
      <c r="L765" s="38">
        <f t="shared" si="362"/>
        <v>549.95944443568135</v>
      </c>
      <c r="M765" s="38">
        <f t="shared" si="362"/>
        <v>1407.0099504880836</v>
      </c>
      <c r="N765" s="38">
        <f t="shared" si="362"/>
        <v>1482.8161193563683</v>
      </c>
      <c r="O765" s="38">
        <f t="shared" si="362"/>
        <v>1450.6943037518131</v>
      </c>
      <c r="P765" s="38">
        <f t="shared" si="362"/>
        <v>1344.5482851054824</v>
      </c>
      <c r="Q765" s="38">
        <f t="shared" si="362"/>
        <v>1699.2870829285512</v>
      </c>
      <c r="R765" s="38">
        <f t="shared" si="362"/>
        <v>0</v>
      </c>
      <c r="S765" s="38">
        <f t="shared" si="362"/>
        <v>0</v>
      </c>
      <c r="T765" s="38">
        <f t="shared" si="362"/>
        <v>0</v>
      </c>
      <c r="U765" s="38">
        <f t="shared" si="362"/>
        <v>0</v>
      </c>
      <c r="V765" s="38">
        <f t="shared" si="362"/>
        <v>0</v>
      </c>
    </row>
    <row r="766" spans="2:22">
      <c r="B766" t="str">
        <f t="shared" si="356"/>
        <v>Caja</v>
      </c>
      <c r="E766" s="55"/>
      <c r="K766" s="38">
        <f t="shared" ref="K766:V766" si="363">+$D754*G$616*(1+INFLACION)^($C754-$G$4)</f>
        <v>0</v>
      </c>
      <c r="L766" s="38">
        <f t="shared" si="363"/>
        <v>0</v>
      </c>
      <c r="M766" s="38">
        <f t="shared" si="363"/>
        <v>0</v>
      </c>
      <c r="N766" s="38">
        <f t="shared" si="363"/>
        <v>1833.1981481189366</v>
      </c>
      <c r="O766" s="38">
        <f t="shared" si="363"/>
        <v>1890.1027837190536</v>
      </c>
      <c r="P766" s="38">
        <f t="shared" si="363"/>
        <v>1167.178886193956</v>
      </c>
      <c r="Q766" s="38">
        <f t="shared" si="363"/>
        <v>3043.8353680340306</v>
      </c>
      <c r="R766" s="38">
        <f t="shared" si="363"/>
        <v>0</v>
      </c>
      <c r="S766" s="38">
        <f t="shared" si="363"/>
        <v>0</v>
      </c>
      <c r="T766" s="38">
        <f t="shared" si="363"/>
        <v>0</v>
      </c>
      <c r="U766" s="38">
        <f t="shared" si="363"/>
        <v>0</v>
      </c>
      <c r="V766" s="38">
        <f t="shared" si="363"/>
        <v>0</v>
      </c>
    </row>
    <row r="767" spans="2:22">
      <c r="E767" s="55"/>
    </row>
    <row r="768" spans="2:22">
      <c r="B768" t="str">
        <f t="shared" si="356"/>
        <v>Inmobiliario</v>
      </c>
      <c r="E768" s="55"/>
    </row>
    <row r="769" spans="2:22">
      <c r="B769" t="str">
        <f t="shared" si="356"/>
        <v>Ventas</v>
      </c>
      <c r="E769" s="55"/>
      <c r="K769" s="38">
        <f t="shared" ref="K769:V769" si="364">+$D754*G$619*(1+INFLACION)^($C754-$G$4)</f>
        <v>0</v>
      </c>
      <c r="L769" s="38">
        <f t="shared" si="364"/>
        <v>4614.6863101456474</v>
      </c>
      <c r="M769" s="38">
        <f t="shared" si="364"/>
        <v>11790.912636338291</v>
      </c>
      <c r="N769" s="38">
        <f t="shared" si="364"/>
        <v>12259.571183587297</v>
      </c>
      <c r="O769" s="38">
        <f t="shared" si="364"/>
        <v>11850.204822899319</v>
      </c>
      <c r="P769" s="38">
        <f t="shared" si="364"/>
        <v>10880.98238466821</v>
      </c>
      <c r="Q769" s="38">
        <f t="shared" si="364"/>
        <v>13630.613659824485</v>
      </c>
      <c r="R769" s="38">
        <f t="shared" si="364"/>
        <v>0</v>
      </c>
      <c r="S769" s="38">
        <f t="shared" si="364"/>
        <v>0</v>
      </c>
      <c r="T769" s="38">
        <f t="shared" si="364"/>
        <v>0</v>
      </c>
      <c r="U769" s="38">
        <f t="shared" si="364"/>
        <v>0</v>
      </c>
      <c r="V769" s="38">
        <f t="shared" si="364"/>
        <v>0</v>
      </c>
    </row>
    <row r="770" spans="2:22">
      <c r="B770" t="str">
        <f t="shared" si="356"/>
        <v>Utilidad</v>
      </c>
      <c r="E770" s="55"/>
      <c r="K770" s="38">
        <f t="shared" ref="K770:V770" si="365">$D754*G$620*(1+INFLACION)^($C754-$G$4)</f>
        <v>0</v>
      </c>
      <c r="L770" s="38">
        <f t="shared" si="365"/>
        <v>948.53301903360091</v>
      </c>
      <c r="M770" s="38">
        <f t="shared" si="365"/>
        <v>2426.7160236082891</v>
      </c>
      <c r="N770" s="38">
        <f t="shared" si="365"/>
        <v>2557.4613993728326</v>
      </c>
      <c r="O770" s="38">
        <f t="shared" si="365"/>
        <v>2502.0598546944002</v>
      </c>
      <c r="P770" s="38">
        <f t="shared" si="365"/>
        <v>2318.9863489228874</v>
      </c>
      <c r="Q770" s="38">
        <f t="shared" si="365"/>
        <v>2930.8159415807986</v>
      </c>
      <c r="R770" s="38">
        <f t="shared" si="365"/>
        <v>0</v>
      </c>
      <c r="S770" s="38">
        <f t="shared" si="365"/>
        <v>0</v>
      </c>
      <c r="T770" s="38">
        <f t="shared" si="365"/>
        <v>0</v>
      </c>
      <c r="U770" s="38">
        <f t="shared" si="365"/>
        <v>0</v>
      </c>
      <c r="V770" s="38">
        <f t="shared" si="365"/>
        <v>0</v>
      </c>
    </row>
    <row r="771" spans="2:22">
      <c r="B771" t="str">
        <f t="shared" si="356"/>
        <v>Caja</v>
      </c>
      <c r="E771" s="55"/>
      <c r="K771" s="38">
        <f t="shared" ref="K771:V771" si="366">+$D754*G$621*(1+INFLACION)^($C754-$G$4)</f>
        <v>0</v>
      </c>
      <c r="L771" s="38">
        <f t="shared" si="366"/>
        <v>0</v>
      </c>
      <c r="M771" s="38">
        <f t="shared" si="366"/>
        <v>0</v>
      </c>
      <c r="N771" s="38">
        <f t="shared" si="366"/>
        <v>3161.7767301120025</v>
      </c>
      <c r="O771" s="38">
        <f t="shared" si="366"/>
        <v>3259.9220140032016</v>
      </c>
      <c r="P771" s="38">
        <f t="shared" si="366"/>
        <v>2013.071552593919</v>
      </c>
      <c r="Q771" s="38">
        <f t="shared" si="366"/>
        <v>5249.8022905036851</v>
      </c>
      <c r="R771" s="38">
        <f t="shared" si="366"/>
        <v>0</v>
      </c>
      <c r="S771" s="38">
        <f t="shared" si="366"/>
        <v>0</v>
      </c>
      <c r="T771" s="38">
        <f t="shared" si="366"/>
        <v>0</v>
      </c>
      <c r="U771" s="38">
        <f t="shared" si="366"/>
        <v>0</v>
      </c>
      <c r="V771" s="38">
        <f t="shared" si="366"/>
        <v>0</v>
      </c>
    </row>
    <row r="772" spans="2:22">
      <c r="E772" s="55"/>
    </row>
    <row r="773" spans="2:22">
      <c r="B773" t="str">
        <f t="shared" si="356"/>
        <v>utilidad como inversionista</v>
      </c>
      <c r="E773" s="55"/>
    </row>
    <row r="774" spans="2:22">
      <c r="B774" t="str">
        <f t="shared" si="356"/>
        <v>Ventas</v>
      </c>
      <c r="E774" s="55"/>
      <c r="K774" s="38">
        <f t="shared" ref="K774:V774" si="367">+$D754*G$624*(1+INFLACION)^($C754-$G$4)*$E754</f>
        <v>0</v>
      </c>
      <c r="L774" s="38">
        <f t="shared" si="367"/>
        <v>474.26650951680017</v>
      </c>
      <c r="M774" s="38">
        <f t="shared" si="367"/>
        <v>1228.6060341277073</v>
      </c>
      <c r="N774" s="38">
        <f t="shared" si="367"/>
        <v>1461.4065139273334</v>
      </c>
      <c r="O774" s="38">
        <f t="shared" si="367"/>
        <v>1573.5393135820802</v>
      </c>
      <c r="P774" s="38">
        <f t="shared" si="367"/>
        <v>1560.5582705356801</v>
      </c>
      <c r="Q774" s="38">
        <f t="shared" si="367"/>
        <v>2093.4399582719998</v>
      </c>
      <c r="R774" s="38">
        <f t="shared" si="367"/>
        <v>0</v>
      </c>
      <c r="S774" s="38">
        <f t="shared" si="367"/>
        <v>0</v>
      </c>
      <c r="T774" s="38">
        <f t="shared" si="367"/>
        <v>0</v>
      </c>
      <c r="U774" s="38">
        <f t="shared" si="367"/>
        <v>0</v>
      </c>
      <c r="V774" s="38">
        <f t="shared" si="367"/>
        <v>0</v>
      </c>
    </row>
    <row r="775" spans="2:22">
      <c r="B775" t="str">
        <f t="shared" si="356"/>
        <v>Caja</v>
      </c>
      <c r="E775" s="55"/>
      <c r="K775" s="38">
        <f t="shared" ref="K775:V775" si="368">+$D754*G$625*(1+INFLACION)^($C754-$G$4)*$E754</f>
        <v>0</v>
      </c>
      <c r="L775" s="38">
        <f t="shared" si="368"/>
        <v>0</v>
      </c>
      <c r="M775" s="38">
        <f t="shared" si="368"/>
        <v>0</v>
      </c>
      <c r="N775" s="38">
        <f t="shared" si="368"/>
        <v>0</v>
      </c>
      <c r="O775" s="38">
        <f t="shared" si="368"/>
        <v>0</v>
      </c>
      <c r="P775" s="38">
        <f t="shared" si="368"/>
        <v>1862.8125794304003</v>
      </c>
      <c r="Q775" s="38">
        <f t="shared" si="368"/>
        <v>3737.7507428352001</v>
      </c>
      <c r="R775" s="38">
        <f t="shared" si="368"/>
        <v>2791.2532776960006</v>
      </c>
      <c r="S775" s="38">
        <f t="shared" si="368"/>
        <v>0</v>
      </c>
      <c r="T775" s="38">
        <f t="shared" si="368"/>
        <v>0</v>
      </c>
      <c r="U775" s="38">
        <f t="shared" si="368"/>
        <v>0</v>
      </c>
      <c r="V775" s="38">
        <f t="shared" si="368"/>
        <v>0</v>
      </c>
    </row>
    <row r="776" spans="2:22">
      <c r="E776" s="55"/>
    </row>
    <row r="777" spans="2:22">
      <c r="B777" t="str">
        <f t="shared" si="356"/>
        <v>Inversiones en proyectos caja</v>
      </c>
      <c r="E777" s="55"/>
      <c r="K777" s="38">
        <f t="shared" ref="K777:V777" si="369">$D754*G$627*(1+INFLACION)^($C754-$G$4)*$E754</f>
        <v>4913.405952000001</v>
      </c>
      <c r="L777" s="38">
        <f t="shared" si="369"/>
        <v>1403.8302720000002</v>
      </c>
      <c r="M777" s="38">
        <f t="shared" si="369"/>
        <v>0</v>
      </c>
      <c r="N777" s="38">
        <f t="shared" si="369"/>
        <v>0</v>
      </c>
      <c r="O777" s="38">
        <f t="shared" si="369"/>
        <v>0</v>
      </c>
      <c r="P777" s="38">
        <f t="shared" si="369"/>
        <v>0</v>
      </c>
      <c r="Q777" s="38">
        <f t="shared" si="369"/>
        <v>0</v>
      </c>
      <c r="R777" s="38">
        <f t="shared" si="369"/>
        <v>0</v>
      </c>
      <c r="S777" s="38">
        <f t="shared" si="369"/>
        <v>0</v>
      </c>
      <c r="T777" s="38">
        <f t="shared" si="369"/>
        <v>0</v>
      </c>
      <c r="U777" s="38">
        <f t="shared" si="369"/>
        <v>0</v>
      </c>
      <c r="V777" s="38">
        <f t="shared" si="369"/>
        <v>0</v>
      </c>
    </row>
    <row r="778" spans="2:22">
      <c r="B778" t="str">
        <f t="shared" si="356"/>
        <v>DesInversiones en proyectos caja</v>
      </c>
      <c r="E778" s="55"/>
      <c r="K778" s="38">
        <f t="shared" ref="K778:V778" si="370">+$D754*G$628*(1+INFLACION)^($C754-$G$4)*$E754</f>
        <v>0</v>
      </c>
      <c r="L778" s="38">
        <f t="shared" si="370"/>
        <v>0</v>
      </c>
      <c r="M778" s="38">
        <f t="shared" si="370"/>
        <v>0</v>
      </c>
      <c r="N778" s="38">
        <f t="shared" si="370"/>
        <v>0</v>
      </c>
      <c r="O778" s="38">
        <f t="shared" si="370"/>
        <v>4913.405952000001</v>
      </c>
      <c r="P778" s="38">
        <f t="shared" si="370"/>
        <v>1403.8302720000002</v>
      </c>
      <c r="Q778" s="38">
        <f t="shared" si="370"/>
        <v>0</v>
      </c>
      <c r="R778" s="38">
        <f t="shared" si="370"/>
        <v>0</v>
      </c>
      <c r="S778" s="38">
        <f t="shared" si="370"/>
        <v>0</v>
      </c>
      <c r="T778" s="38">
        <f t="shared" si="370"/>
        <v>0</v>
      </c>
      <c r="U778" s="38">
        <f t="shared" si="370"/>
        <v>0</v>
      </c>
      <c r="V778" s="38">
        <f t="shared" si="370"/>
        <v>0</v>
      </c>
    </row>
    <row r="779" spans="2:22">
      <c r="B779" t="str">
        <f>+B749</f>
        <v>Escrituración</v>
      </c>
      <c r="K779" s="38">
        <f t="shared" ref="K779:V779" si="371">+$D754*G$629*(1+INFLACION)^($C754-$G$4)</f>
        <v>0</v>
      </c>
      <c r="L779" s="38">
        <f t="shared" si="371"/>
        <v>0</v>
      </c>
      <c r="M779" s="38">
        <f t="shared" si="371"/>
        <v>0</v>
      </c>
      <c r="N779" s="38">
        <f t="shared" si="371"/>
        <v>45351.558816411904</v>
      </c>
      <c r="O779" s="38">
        <f t="shared" si="371"/>
        <v>46759.324764131925</v>
      </c>
      <c r="P779" s="38">
        <f t="shared" si="371"/>
        <v>48124.804876125658</v>
      </c>
      <c r="Q779" s="38">
        <f t="shared" si="371"/>
        <v>56051.637164977154</v>
      </c>
      <c r="R779" s="38">
        <f t="shared" si="371"/>
        <v>0</v>
      </c>
      <c r="S779" s="38">
        <f t="shared" si="371"/>
        <v>0</v>
      </c>
      <c r="T779" s="38">
        <f t="shared" si="371"/>
        <v>0</v>
      </c>
      <c r="U779" s="38">
        <f t="shared" si="371"/>
        <v>0</v>
      </c>
      <c r="V779" s="38">
        <f t="shared" si="371"/>
        <v>0</v>
      </c>
    </row>
    <row r="780" spans="2:22">
      <c r="B780" t="s">
        <v>359</v>
      </c>
      <c r="E780" s="55"/>
      <c r="K780" s="38">
        <f t="shared" ref="K780:V780" si="372">+$D754*G$630*(1+INFLACION)^($C754-$G$4)</f>
        <v>0</v>
      </c>
      <c r="L780" s="38">
        <f t="shared" si="372"/>
        <v>0</v>
      </c>
      <c r="M780" s="38">
        <f t="shared" si="372"/>
        <v>0</v>
      </c>
      <c r="N780" s="38">
        <f t="shared" si="372"/>
        <v>29359.355351040005</v>
      </c>
      <c r="O780" s="38">
        <f t="shared" si="372"/>
        <v>30270.704415744007</v>
      </c>
      <c r="P780" s="38">
        <f t="shared" si="372"/>
        <v>31154.678790144008</v>
      </c>
      <c r="Q780" s="38">
        <f t="shared" si="372"/>
        <v>36286.292610048011</v>
      </c>
      <c r="R780" s="38">
        <f t="shared" si="372"/>
        <v>0</v>
      </c>
      <c r="S780" s="38">
        <f t="shared" si="372"/>
        <v>0</v>
      </c>
      <c r="T780" s="38">
        <f t="shared" si="372"/>
        <v>0</v>
      </c>
      <c r="U780" s="38">
        <f t="shared" si="372"/>
        <v>0</v>
      </c>
      <c r="V780" s="38">
        <f t="shared" si="372"/>
        <v>0</v>
      </c>
    </row>
    <row r="781" spans="2:22">
      <c r="E781" s="55"/>
    </row>
    <row r="782" spans="2:22">
      <c r="E782" s="55"/>
    </row>
    <row r="783" spans="2:22">
      <c r="C783" t="s">
        <v>615</v>
      </c>
      <c r="D783" t="s">
        <v>616</v>
      </c>
      <c r="E783" s="55" t="s">
        <v>617</v>
      </c>
    </row>
    <row r="784" spans="2:22">
      <c r="B784" t="s">
        <v>618</v>
      </c>
      <c r="C784">
        <f>+C754+1</f>
        <v>2024</v>
      </c>
      <c r="D784">
        <f>+VLOOKUP(C784,$B$545:$C$567,2,FALSE)</f>
        <v>3</v>
      </c>
      <c r="E784" s="55">
        <f>+HLOOKUP('Proyectos Inmob detall'!C784,Proyecciones!$G$56:$AG$57,2,FALSE)</f>
        <v>1</v>
      </c>
    </row>
    <row r="785" spans="2:23">
      <c r="B785" t="str">
        <f>+B755</f>
        <v>Arquitectura</v>
      </c>
      <c r="E785" s="55"/>
    </row>
    <row r="786" spans="2:23">
      <c r="B786" t="str">
        <f t="shared" ref="B786:B808" si="373">+B756</f>
        <v>Ventas</v>
      </c>
      <c r="E786" s="55"/>
      <c r="L786" s="38">
        <f t="shared" ref="L786:W786" si="374">+$D784*G$606*(1+INFLACION)^($C784-$G$4)</f>
        <v>0</v>
      </c>
      <c r="M786" s="38">
        <f t="shared" si="374"/>
        <v>81.708260316158388</v>
      </c>
      <c r="N786" s="38">
        <f t="shared" si="374"/>
        <v>209.04147835822982</v>
      </c>
      <c r="O786" s="38">
        <f t="shared" si="374"/>
        <v>220.30410916151769</v>
      </c>
      <c r="P786" s="38">
        <f t="shared" si="374"/>
        <v>215.53172512884086</v>
      </c>
      <c r="Q786" s="38">
        <f t="shared" si="374"/>
        <v>199.76145950138661</v>
      </c>
      <c r="R786" s="38">
        <f t="shared" si="374"/>
        <v>252.46550946367009</v>
      </c>
      <c r="S786" s="38">
        <f t="shared" si="374"/>
        <v>0</v>
      </c>
      <c r="T786" s="38">
        <f t="shared" si="374"/>
        <v>0</v>
      </c>
      <c r="U786" s="38">
        <f t="shared" si="374"/>
        <v>0</v>
      </c>
      <c r="V786" s="38">
        <f t="shared" si="374"/>
        <v>0</v>
      </c>
      <c r="W786" s="38">
        <f t="shared" si="374"/>
        <v>0</v>
      </c>
    </row>
    <row r="787" spans="2:23">
      <c r="B787" t="str">
        <f t="shared" si="373"/>
        <v>Caja</v>
      </c>
      <c r="E787" s="55"/>
      <c r="L787" s="38">
        <f t="shared" ref="L787:W787" si="375">+$D784*G$607*(1+INFLACION)^($C784-$G$4)</f>
        <v>0</v>
      </c>
      <c r="M787" s="38">
        <f t="shared" si="375"/>
        <v>0</v>
      </c>
      <c r="N787" s="38">
        <f t="shared" si="375"/>
        <v>272.36086772052795</v>
      </c>
      <c r="O787" s="38">
        <f t="shared" si="375"/>
        <v>0</v>
      </c>
      <c r="P787" s="38">
        <f t="shared" si="375"/>
        <v>280.81527072397404</v>
      </c>
      <c r="Q787" s="38">
        <f t="shared" si="375"/>
        <v>289.01572420040799</v>
      </c>
      <c r="R787" s="38">
        <f t="shared" si="375"/>
        <v>336.62067928489336</v>
      </c>
      <c r="S787" s="38">
        <f t="shared" si="375"/>
        <v>0</v>
      </c>
      <c r="T787" s="38">
        <f t="shared" si="375"/>
        <v>0</v>
      </c>
      <c r="U787" s="38">
        <f t="shared" si="375"/>
        <v>0</v>
      </c>
      <c r="V787" s="38">
        <f t="shared" si="375"/>
        <v>0</v>
      </c>
      <c r="W787" s="38">
        <f t="shared" si="375"/>
        <v>0</v>
      </c>
    </row>
    <row r="788" spans="2:23">
      <c r="E788" s="55"/>
    </row>
    <row r="789" spans="2:23">
      <c r="B789" t="str">
        <f t="shared" si="373"/>
        <v>Preconstrucción</v>
      </c>
      <c r="E789" s="55"/>
    </row>
    <row r="790" spans="2:23">
      <c r="B790" t="str">
        <f t="shared" si="373"/>
        <v>Ventas</v>
      </c>
      <c r="E790" s="55"/>
      <c r="L790" s="38">
        <f t="shared" ref="L790:W790" si="376">$D784*G$610*(1+INFLACION)^($C784-$G$4)</f>
        <v>0</v>
      </c>
      <c r="M790" s="38">
        <f t="shared" si="376"/>
        <v>32.683304126463355</v>
      </c>
      <c r="N790" s="38">
        <f t="shared" si="376"/>
        <v>83.616591343291915</v>
      </c>
      <c r="O790" s="38">
        <f t="shared" si="376"/>
        <v>88.121643664607035</v>
      </c>
      <c r="P790" s="38">
        <f t="shared" si="376"/>
        <v>86.212690051536313</v>
      </c>
      <c r="Q790" s="38">
        <f t="shared" si="376"/>
        <v>79.904583800554647</v>
      </c>
      <c r="R790" s="38">
        <f t="shared" si="376"/>
        <v>100.98620378546799</v>
      </c>
      <c r="S790" s="38">
        <f t="shared" si="376"/>
        <v>0</v>
      </c>
      <c r="T790" s="38">
        <f t="shared" si="376"/>
        <v>0</v>
      </c>
      <c r="U790" s="38">
        <f t="shared" si="376"/>
        <v>0</v>
      </c>
      <c r="V790" s="38">
        <f t="shared" si="376"/>
        <v>0</v>
      </c>
      <c r="W790" s="38">
        <f t="shared" si="376"/>
        <v>0</v>
      </c>
    </row>
    <row r="791" spans="2:23">
      <c r="B791" t="str">
        <f t="shared" si="373"/>
        <v>Caja</v>
      </c>
      <c r="E791" s="55"/>
      <c r="L791" s="38">
        <f t="shared" ref="L791:W791" si="377">+$D784*G$611*(1+INFLACION)^($C784-$G$4)</f>
        <v>0</v>
      </c>
      <c r="M791" s="38">
        <f t="shared" si="377"/>
        <v>0</v>
      </c>
      <c r="N791" s="38">
        <f t="shared" si="377"/>
        <v>108.94434708821117</v>
      </c>
      <c r="O791" s="38">
        <f t="shared" si="377"/>
        <v>0</v>
      </c>
      <c r="P791" s="38">
        <f t="shared" si="377"/>
        <v>112.32610828958961</v>
      </c>
      <c r="Q791" s="38">
        <f t="shared" si="377"/>
        <v>115.60628968016317</v>
      </c>
      <c r="R791" s="38">
        <f t="shared" si="377"/>
        <v>134.64827171395734</v>
      </c>
      <c r="S791" s="38">
        <f t="shared" si="377"/>
        <v>0</v>
      </c>
      <c r="T791" s="38">
        <f t="shared" si="377"/>
        <v>0</v>
      </c>
      <c r="U791" s="38">
        <f t="shared" si="377"/>
        <v>0</v>
      </c>
      <c r="V791" s="38">
        <f t="shared" si="377"/>
        <v>0</v>
      </c>
      <c r="W791" s="38">
        <f t="shared" si="377"/>
        <v>0</v>
      </c>
    </row>
    <row r="792" spans="2:23">
      <c r="E792" s="55"/>
    </row>
    <row r="793" spans="2:23">
      <c r="B793" t="str">
        <f t="shared" si="373"/>
        <v>Construccion</v>
      </c>
      <c r="E793" s="55"/>
    </row>
    <row r="794" spans="2:23">
      <c r="B794" t="str">
        <f t="shared" si="373"/>
        <v>Ventas</v>
      </c>
      <c r="E794" s="55"/>
      <c r="L794" s="38">
        <f t="shared" ref="L794:W794" si="378">+$D784*G$614*(1+INFLACION)^($C784-$G$4)</f>
        <v>0</v>
      </c>
      <c r="M794" s="38">
        <f t="shared" si="378"/>
        <v>8742.7838538289452</v>
      </c>
      <c r="N794" s="38">
        <f t="shared" si="378"/>
        <v>22367.438184330589</v>
      </c>
      <c r="O794" s="38">
        <f t="shared" si="378"/>
        <v>23572.539680282389</v>
      </c>
      <c r="P794" s="38">
        <f t="shared" si="378"/>
        <v>23061.894588785977</v>
      </c>
      <c r="Q794" s="38">
        <f t="shared" si="378"/>
        <v>21374.476166648361</v>
      </c>
      <c r="R794" s="38">
        <f t="shared" si="378"/>
        <v>27013.809512612672</v>
      </c>
      <c r="S794" s="38">
        <f t="shared" si="378"/>
        <v>0</v>
      </c>
      <c r="T794" s="38">
        <f t="shared" si="378"/>
        <v>0</v>
      </c>
      <c r="U794" s="38">
        <f t="shared" si="378"/>
        <v>0</v>
      </c>
      <c r="V794" s="38">
        <f t="shared" si="378"/>
        <v>0</v>
      </c>
      <c r="W794" s="38">
        <f t="shared" si="378"/>
        <v>0</v>
      </c>
    </row>
    <row r="795" spans="2:23">
      <c r="B795" t="str">
        <f t="shared" si="373"/>
        <v>Utilidad</v>
      </c>
      <c r="E795" s="55"/>
      <c r="L795" s="38">
        <f t="shared" ref="L795:W795" si="379">+$D784*G$615*(1+INFLACION)^($C784-$G$4)</f>
        <v>0</v>
      </c>
      <c r="M795" s="38">
        <f t="shared" si="379"/>
        <v>571.95782221310867</v>
      </c>
      <c r="N795" s="38">
        <f t="shared" si="379"/>
        <v>1463.2903485076072</v>
      </c>
      <c r="O795" s="38">
        <f t="shared" si="379"/>
        <v>1542.128764130623</v>
      </c>
      <c r="P795" s="38">
        <f t="shared" si="379"/>
        <v>1508.7220759018858</v>
      </c>
      <c r="Q795" s="38">
        <f t="shared" si="379"/>
        <v>1398.3302165097018</v>
      </c>
      <c r="R795" s="38">
        <f t="shared" si="379"/>
        <v>1767.2585662456934</v>
      </c>
      <c r="S795" s="38">
        <f t="shared" si="379"/>
        <v>0</v>
      </c>
      <c r="T795" s="38">
        <f t="shared" si="379"/>
        <v>0</v>
      </c>
      <c r="U795" s="38">
        <f t="shared" si="379"/>
        <v>0</v>
      </c>
      <c r="V795" s="38">
        <f t="shared" si="379"/>
        <v>0</v>
      </c>
      <c r="W795" s="38">
        <f t="shared" si="379"/>
        <v>0</v>
      </c>
    </row>
    <row r="796" spans="2:23">
      <c r="B796" t="str">
        <f t="shared" si="373"/>
        <v>Caja</v>
      </c>
      <c r="E796" s="55"/>
      <c r="L796" s="38">
        <f t="shared" ref="L796:W796" si="380">+$D784*G$616*(1+INFLACION)^($C784-$G$4)</f>
        <v>0</v>
      </c>
      <c r="M796" s="38">
        <f t="shared" si="380"/>
        <v>0</v>
      </c>
      <c r="N796" s="38">
        <f t="shared" si="380"/>
        <v>0</v>
      </c>
      <c r="O796" s="38">
        <f t="shared" si="380"/>
        <v>1906.5260740436943</v>
      </c>
      <c r="P796" s="38">
        <f t="shared" si="380"/>
        <v>1965.706895067816</v>
      </c>
      <c r="Q796" s="38">
        <f t="shared" si="380"/>
        <v>1213.8660416417142</v>
      </c>
      <c r="R796" s="38">
        <f t="shared" si="380"/>
        <v>3165.588782755392</v>
      </c>
      <c r="S796" s="38">
        <f t="shared" si="380"/>
        <v>0</v>
      </c>
      <c r="T796" s="38">
        <f t="shared" si="380"/>
        <v>0</v>
      </c>
      <c r="U796" s="38">
        <f t="shared" si="380"/>
        <v>0</v>
      </c>
      <c r="V796" s="38">
        <f t="shared" si="380"/>
        <v>0</v>
      </c>
      <c r="W796" s="38">
        <f t="shared" si="380"/>
        <v>0</v>
      </c>
    </row>
    <row r="797" spans="2:23">
      <c r="E797" s="55"/>
    </row>
    <row r="798" spans="2:23">
      <c r="B798" t="str">
        <f t="shared" si="373"/>
        <v>Inmobiliario</v>
      </c>
      <c r="E798" s="55"/>
    </row>
    <row r="799" spans="2:23">
      <c r="B799" t="str">
        <f t="shared" si="373"/>
        <v>Ventas</v>
      </c>
      <c r="E799" s="55"/>
      <c r="L799" s="38">
        <f t="shared" ref="L799:W799" si="381">+$D784*G$619*(1+INFLACION)^($C784-$G$4)</f>
        <v>0</v>
      </c>
      <c r="M799" s="38">
        <f t="shared" si="381"/>
        <v>4799.2737625514737</v>
      </c>
      <c r="N799" s="38">
        <f t="shared" si="381"/>
        <v>12262.549141791824</v>
      </c>
      <c r="O799" s="38">
        <f t="shared" si="381"/>
        <v>12749.95403093079</v>
      </c>
      <c r="P799" s="38">
        <f t="shared" si="381"/>
        <v>12324.213015815292</v>
      </c>
      <c r="Q799" s="38">
        <f t="shared" si="381"/>
        <v>11316.221680054939</v>
      </c>
      <c r="R799" s="38">
        <f t="shared" si="381"/>
        <v>14175.838206217466</v>
      </c>
      <c r="S799" s="38">
        <f t="shared" si="381"/>
        <v>0</v>
      </c>
      <c r="T799" s="38">
        <f t="shared" si="381"/>
        <v>0</v>
      </c>
      <c r="U799" s="38">
        <f t="shared" si="381"/>
        <v>0</v>
      </c>
      <c r="V799" s="38">
        <f t="shared" si="381"/>
        <v>0</v>
      </c>
      <c r="W799" s="38">
        <f t="shared" si="381"/>
        <v>0</v>
      </c>
    </row>
    <row r="800" spans="2:23">
      <c r="B800" t="str">
        <f t="shared" si="373"/>
        <v>Utilidad</v>
      </c>
      <c r="E800" s="55"/>
      <c r="L800" s="38">
        <f t="shared" ref="L800:W800" si="382">$D784*G$620*(1+INFLACION)^($C784-$G$4)</f>
        <v>0</v>
      </c>
      <c r="M800" s="38">
        <f t="shared" si="382"/>
        <v>986.47433979494508</v>
      </c>
      <c r="N800" s="38">
        <f t="shared" si="382"/>
        <v>2523.7846645526211</v>
      </c>
      <c r="O800" s="38">
        <f t="shared" si="382"/>
        <v>2659.7598553477465</v>
      </c>
      <c r="P800" s="38">
        <f t="shared" si="382"/>
        <v>2602.1422488821763</v>
      </c>
      <c r="Q800" s="38">
        <f t="shared" si="382"/>
        <v>2411.7458028798033</v>
      </c>
      <c r="R800" s="38">
        <f t="shared" si="382"/>
        <v>3048.0485792440309</v>
      </c>
      <c r="S800" s="38">
        <f t="shared" si="382"/>
        <v>0</v>
      </c>
      <c r="T800" s="38">
        <f t="shared" si="382"/>
        <v>0</v>
      </c>
      <c r="U800" s="38">
        <f t="shared" si="382"/>
        <v>0</v>
      </c>
      <c r="V800" s="38">
        <f t="shared" si="382"/>
        <v>0</v>
      </c>
      <c r="W800" s="38">
        <f t="shared" si="382"/>
        <v>0</v>
      </c>
    </row>
    <row r="801" spans="2:24">
      <c r="B801" t="str">
        <f t="shared" si="373"/>
        <v>Caja</v>
      </c>
      <c r="E801" s="55"/>
      <c r="L801" s="38">
        <f t="shared" ref="L801:W801" si="383">+$D784*G$621*(1+INFLACION)^($C784-$G$4)</f>
        <v>0</v>
      </c>
      <c r="M801" s="38">
        <f t="shared" si="383"/>
        <v>0</v>
      </c>
      <c r="N801" s="38">
        <f t="shared" si="383"/>
        <v>0</v>
      </c>
      <c r="O801" s="38">
        <f t="shared" si="383"/>
        <v>3288.247799316483</v>
      </c>
      <c r="P801" s="38">
        <f t="shared" si="383"/>
        <v>3390.3188945633296</v>
      </c>
      <c r="Q801" s="38">
        <f t="shared" si="383"/>
        <v>2093.5944146976758</v>
      </c>
      <c r="R801" s="38">
        <f t="shared" si="383"/>
        <v>5459.7943821238332</v>
      </c>
      <c r="S801" s="38">
        <f t="shared" si="383"/>
        <v>0</v>
      </c>
      <c r="T801" s="38">
        <f t="shared" si="383"/>
        <v>0</v>
      </c>
      <c r="U801" s="38">
        <f t="shared" si="383"/>
        <v>0</v>
      </c>
      <c r="V801" s="38">
        <f t="shared" si="383"/>
        <v>0</v>
      </c>
      <c r="W801" s="38">
        <f t="shared" si="383"/>
        <v>0</v>
      </c>
    </row>
    <row r="802" spans="2:24">
      <c r="E802" s="55"/>
    </row>
    <row r="803" spans="2:24">
      <c r="B803" t="str">
        <f t="shared" si="373"/>
        <v>utilidad como inversionista</v>
      </c>
      <c r="E803" s="55"/>
    </row>
    <row r="804" spans="2:24">
      <c r="B804" t="str">
        <f t="shared" si="373"/>
        <v>Ventas</v>
      </c>
      <c r="E804" s="55"/>
      <c r="L804" s="38">
        <f t="shared" ref="L804:W804" si="384">+$D784*G$624*(1+INFLACION)^($C784-$G$4)*$E784</f>
        <v>0</v>
      </c>
      <c r="M804" s="38">
        <f t="shared" si="384"/>
        <v>493.23716989747226</v>
      </c>
      <c r="N804" s="38">
        <f t="shared" si="384"/>
        <v>1277.7502754928157</v>
      </c>
      <c r="O804" s="38">
        <f t="shared" si="384"/>
        <v>1519.8627744844268</v>
      </c>
      <c r="P804" s="38">
        <f t="shared" si="384"/>
        <v>1636.4808861253637</v>
      </c>
      <c r="Q804" s="38">
        <f t="shared" si="384"/>
        <v>1622.9806013571076</v>
      </c>
      <c r="R804" s="38">
        <f t="shared" si="384"/>
        <v>2177.17755660288</v>
      </c>
      <c r="S804" s="38">
        <f t="shared" si="384"/>
        <v>0</v>
      </c>
      <c r="T804" s="38">
        <f t="shared" si="384"/>
        <v>0</v>
      </c>
      <c r="U804" s="38">
        <f t="shared" si="384"/>
        <v>0</v>
      </c>
      <c r="V804" s="38">
        <f t="shared" si="384"/>
        <v>0</v>
      </c>
      <c r="W804" s="38">
        <f t="shared" si="384"/>
        <v>0</v>
      </c>
    </row>
    <row r="805" spans="2:24">
      <c r="B805" t="str">
        <f t="shared" si="373"/>
        <v>Caja</v>
      </c>
      <c r="E805" s="55"/>
      <c r="L805" s="38">
        <f t="shared" ref="L805:W805" si="385">+$D784*G$625*(1+INFLACION)^($C784-$G$4)*$E784</f>
        <v>0</v>
      </c>
      <c r="M805" s="38">
        <f t="shared" si="385"/>
        <v>0</v>
      </c>
      <c r="N805" s="38">
        <f t="shared" si="385"/>
        <v>0</v>
      </c>
      <c r="O805" s="38">
        <f t="shared" si="385"/>
        <v>0</v>
      </c>
      <c r="P805" s="38">
        <f t="shared" si="385"/>
        <v>0</v>
      </c>
      <c r="Q805" s="38">
        <f t="shared" si="385"/>
        <v>1937.3250826076164</v>
      </c>
      <c r="R805" s="38">
        <f t="shared" si="385"/>
        <v>3887.2607725486087</v>
      </c>
      <c r="S805" s="38">
        <f t="shared" si="385"/>
        <v>2902.9034088038406</v>
      </c>
      <c r="T805" s="38">
        <f t="shared" si="385"/>
        <v>0</v>
      </c>
      <c r="U805" s="38">
        <f t="shared" si="385"/>
        <v>0</v>
      </c>
      <c r="V805" s="38">
        <f t="shared" si="385"/>
        <v>0</v>
      </c>
      <c r="W805" s="38">
        <f t="shared" si="385"/>
        <v>0</v>
      </c>
    </row>
    <row r="806" spans="2:24">
      <c r="E806" s="55"/>
    </row>
    <row r="807" spans="2:24">
      <c r="B807" t="str">
        <f t="shared" si="373"/>
        <v>Inversiones en proyectos caja</v>
      </c>
      <c r="E807" s="55"/>
      <c r="L807" s="38">
        <f t="shared" ref="L807:W807" si="386">$D784*G$627*(1+INFLACION)^($C784-$G$4)*$E784</f>
        <v>5109.9421900800016</v>
      </c>
      <c r="M807" s="38">
        <f t="shared" si="386"/>
        <v>1459.9834828800003</v>
      </c>
      <c r="N807" s="38">
        <f t="shared" si="386"/>
        <v>0</v>
      </c>
      <c r="O807" s="38">
        <f t="shared" si="386"/>
        <v>0</v>
      </c>
      <c r="P807" s="38">
        <f t="shared" si="386"/>
        <v>0</v>
      </c>
      <c r="Q807" s="38">
        <f t="shared" si="386"/>
        <v>0</v>
      </c>
      <c r="R807" s="38">
        <f t="shared" si="386"/>
        <v>0</v>
      </c>
      <c r="S807" s="38">
        <f t="shared" si="386"/>
        <v>0</v>
      </c>
      <c r="T807" s="38">
        <f t="shared" si="386"/>
        <v>0</v>
      </c>
      <c r="U807" s="38">
        <f t="shared" si="386"/>
        <v>0</v>
      </c>
      <c r="V807" s="38">
        <f t="shared" si="386"/>
        <v>0</v>
      </c>
      <c r="W807" s="38">
        <f t="shared" si="386"/>
        <v>0</v>
      </c>
    </row>
    <row r="808" spans="2:24">
      <c r="B808" t="str">
        <f t="shared" si="373"/>
        <v>DesInversiones en proyectos caja</v>
      </c>
      <c r="E808" s="55"/>
      <c r="L808" s="38">
        <f t="shared" ref="L808:W808" si="387">+$D784*G$628*(1+INFLACION)^($C784-$G$4)*$E784</f>
        <v>0</v>
      </c>
      <c r="M808" s="38">
        <f t="shared" si="387"/>
        <v>0</v>
      </c>
      <c r="N808" s="38">
        <f t="shared" si="387"/>
        <v>0</v>
      </c>
      <c r="O808" s="38">
        <f t="shared" si="387"/>
        <v>0</v>
      </c>
      <c r="P808" s="38">
        <f t="shared" si="387"/>
        <v>5109.9421900800016</v>
      </c>
      <c r="Q808" s="38">
        <f t="shared" si="387"/>
        <v>1459.9834828800003</v>
      </c>
      <c r="R808" s="38">
        <f t="shared" si="387"/>
        <v>0</v>
      </c>
      <c r="S808" s="38">
        <f t="shared" si="387"/>
        <v>0</v>
      </c>
      <c r="T808" s="38">
        <f t="shared" si="387"/>
        <v>0</v>
      </c>
      <c r="U808" s="38">
        <f t="shared" si="387"/>
        <v>0</v>
      </c>
      <c r="V808" s="38">
        <f t="shared" si="387"/>
        <v>0</v>
      </c>
      <c r="W808" s="38">
        <f t="shared" si="387"/>
        <v>0</v>
      </c>
    </row>
    <row r="809" spans="2:24">
      <c r="B809" t="str">
        <f>+B779</f>
        <v>Escrituración</v>
      </c>
      <c r="L809" s="38">
        <f t="shared" ref="L809:W809" si="388">+$D784*G$629*(1+INFLACION)^($C784-$G$4)</f>
        <v>0</v>
      </c>
      <c r="M809" s="38">
        <f t="shared" si="388"/>
        <v>0</v>
      </c>
      <c r="N809" s="38">
        <f t="shared" si="388"/>
        <v>0</v>
      </c>
      <c r="O809" s="38">
        <f t="shared" si="388"/>
        <v>47165.621169068385</v>
      </c>
      <c r="P809" s="38">
        <f t="shared" si="388"/>
        <v>48629.697754697205</v>
      </c>
      <c r="Q809" s="38">
        <f t="shared" si="388"/>
        <v>50049.797071170688</v>
      </c>
      <c r="R809" s="38">
        <f t="shared" si="388"/>
        <v>58293.702651576248</v>
      </c>
      <c r="S809" s="38">
        <f t="shared" si="388"/>
        <v>0</v>
      </c>
      <c r="T809" s="38">
        <f t="shared" si="388"/>
        <v>0</v>
      </c>
      <c r="U809" s="38">
        <f t="shared" si="388"/>
        <v>0</v>
      </c>
      <c r="V809" s="38">
        <f t="shared" si="388"/>
        <v>0</v>
      </c>
      <c r="W809" s="38">
        <f t="shared" si="388"/>
        <v>0</v>
      </c>
    </row>
    <row r="810" spans="2:24">
      <c r="B810" t="s">
        <v>359</v>
      </c>
      <c r="E810" s="55"/>
      <c r="L810" s="38">
        <f t="shared" ref="L810:W810" si="389">+$D784*G$630*(1+INFLACION)^($C784-$G$4)</f>
        <v>0</v>
      </c>
      <c r="M810" s="38">
        <f t="shared" si="389"/>
        <v>0</v>
      </c>
      <c r="N810" s="38">
        <f t="shared" si="389"/>
        <v>0</v>
      </c>
      <c r="O810" s="38">
        <f t="shared" si="389"/>
        <v>30533.729565081609</v>
      </c>
      <c r="P810" s="38">
        <f t="shared" si="389"/>
        <v>31481.532592373769</v>
      </c>
      <c r="Q810" s="38">
        <f t="shared" si="389"/>
        <v>32400.865941749769</v>
      </c>
      <c r="R810" s="38">
        <f t="shared" si="389"/>
        <v>37737.744314449934</v>
      </c>
      <c r="S810" s="38">
        <f t="shared" si="389"/>
        <v>0</v>
      </c>
      <c r="T810" s="38">
        <f t="shared" si="389"/>
        <v>0</v>
      </c>
      <c r="U810" s="38">
        <f t="shared" si="389"/>
        <v>0</v>
      </c>
      <c r="V810" s="38">
        <f t="shared" si="389"/>
        <v>0</v>
      </c>
      <c r="W810" s="38">
        <f t="shared" si="389"/>
        <v>0</v>
      </c>
    </row>
    <row r="811" spans="2:24">
      <c r="E811" s="55"/>
    </row>
    <row r="812" spans="2:24">
      <c r="E812" s="55"/>
    </row>
    <row r="813" spans="2:24">
      <c r="C813" t="s">
        <v>615</v>
      </c>
      <c r="D813" t="s">
        <v>616</v>
      </c>
      <c r="E813" s="55" t="s">
        <v>617</v>
      </c>
    </row>
    <row r="814" spans="2:24">
      <c r="B814" t="s">
        <v>618</v>
      </c>
      <c r="C814">
        <f>+C784+1</f>
        <v>2025</v>
      </c>
      <c r="D814">
        <f>+VLOOKUP(C814,$B$545:$C$567,2,FALSE)</f>
        <v>4</v>
      </c>
      <c r="E814" s="55">
        <f>+HLOOKUP('Proyectos Inmob detall'!C814,Proyecciones!$G$56:$AG$57,2,FALSE)</f>
        <v>1</v>
      </c>
    </row>
    <row r="815" spans="2:24">
      <c r="B815" t="str">
        <f>+B785</f>
        <v>Arquitectura</v>
      </c>
      <c r="E815" s="55"/>
    </row>
    <row r="816" spans="2:24">
      <c r="B816" t="str">
        <f t="shared" ref="B816:B838" si="390">+B786</f>
        <v>Ventas</v>
      </c>
      <c r="E816" s="55"/>
      <c r="M816" s="38">
        <f t="shared" ref="M816:X816" si="391">+$D814*G$606*(1+INFLACION)^($C814-$G$4)</f>
        <v>0</v>
      </c>
      <c r="N816" s="38">
        <f t="shared" si="391"/>
        <v>113.30212097173964</v>
      </c>
      <c r="O816" s="38">
        <f t="shared" si="391"/>
        <v>289.87084999007868</v>
      </c>
      <c r="P816" s="38">
        <f t="shared" si="391"/>
        <v>305.48836470397117</v>
      </c>
      <c r="Q816" s="38">
        <f t="shared" si="391"/>
        <v>298.87065884532598</v>
      </c>
      <c r="R816" s="38">
        <f t="shared" si="391"/>
        <v>277.00255717525607</v>
      </c>
      <c r="S816" s="38">
        <f t="shared" si="391"/>
        <v>350.08550645628918</v>
      </c>
      <c r="T816" s="38">
        <f t="shared" si="391"/>
        <v>0</v>
      </c>
      <c r="U816" s="38">
        <f t="shared" si="391"/>
        <v>0</v>
      </c>
      <c r="V816" s="38">
        <f t="shared" si="391"/>
        <v>0</v>
      </c>
      <c r="W816" s="38">
        <f t="shared" si="391"/>
        <v>0</v>
      </c>
      <c r="X816" s="38">
        <f t="shared" si="391"/>
        <v>0</v>
      </c>
    </row>
    <row r="817" spans="2:24">
      <c r="B817" t="str">
        <f t="shared" si="390"/>
        <v>Caja</v>
      </c>
      <c r="E817" s="55"/>
      <c r="M817" s="38">
        <f t="shared" ref="M817:X817" si="392">+$D814*G$607*(1+INFLACION)^($C814-$G$4)</f>
        <v>0</v>
      </c>
      <c r="N817" s="38">
        <f t="shared" si="392"/>
        <v>0</v>
      </c>
      <c r="O817" s="38">
        <f t="shared" si="392"/>
        <v>377.67373657246543</v>
      </c>
      <c r="P817" s="38">
        <f t="shared" si="392"/>
        <v>0</v>
      </c>
      <c r="Q817" s="38">
        <f t="shared" si="392"/>
        <v>389.39717540391064</v>
      </c>
      <c r="R817" s="38">
        <f t="shared" si="392"/>
        <v>400.76847089123243</v>
      </c>
      <c r="S817" s="38">
        <f t="shared" si="392"/>
        <v>466.78067527505215</v>
      </c>
      <c r="T817" s="38">
        <f t="shared" si="392"/>
        <v>0</v>
      </c>
      <c r="U817" s="38">
        <f t="shared" si="392"/>
        <v>0</v>
      </c>
      <c r="V817" s="38">
        <f t="shared" si="392"/>
        <v>0</v>
      </c>
      <c r="W817" s="38">
        <f t="shared" si="392"/>
        <v>0</v>
      </c>
      <c r="X817" s="38">
        <f t="shared" si="392"/>
        <v>0</v>
      </c>
    </row>
    <row r="818" spans="2:24">
      <c r="E818" s="55"/>
    </row>
    <row r="819" spans="2:24">
      <c r="B819" t="str">
        <f t="shared" si="390"/>
        <v>Preconstrucción</v>
      </c>
      <c r="E819" s="55"/>
    </row>
    <row r="820" spans="2:24">
      <c r="B820" t="str">
        <f t="shared" si="390"/>
        <v>Ventas</v>
      </c>
      <c r="E820" s="55"/>
      <c r="M820" s="38">
        <f t="shared" ref="M820:X820" si="393">$D814*G$610*(1+INFLACION)^($C814-$G$4)</f>
        <v>0</v>
      </c>
      <c r="N820" s="38">
        <f t="shared" si="393"/>
        <v>45.32084838869585</v>
      </c>
      <c r="O820" s="38">
        <f t="shared" si="393"/>
        <v>115.94833999603145</v>
      </c>
      <c r="P820" s="38">
        <f t="shared" si="393"/>
        <v>122.19534588158844</v>
      </c>
      <c r="Q820" s="38">
        <f t="shared" si="393"/>
        <v>119.54826353813034</v>
      </c>
      <c r="R820" s="38">
        <f t="shared" si="393"/>
        <v>110.80102287010244</v>
      </c>
      <c r="S820" s="38">
        <f t="shared" si="393"/>
        <v>140.03420258251563</v>
      </c>
      <c r="T820" s="38">
        <f t="shared" si="393"/>
        <v>0</v>
      </c>
      <c r="U820" s="38">
        <f t="shared" si="393"/>
        <v>0</v>
      </c>
      <c r="V820" s="38">
        <f t="shared" si="393"/>
        <v>0</v>
      </c>
      <c r="W820" s="38">
        <f t="shared" si="393"/>
        <v>0</v>
      </c>
      <c r="X820" s="38">
        <f t="shared" si="393"/>
        <v>0</v>
      </c>
    </row>
    <row r="821" spans="2:24">
      <c r="B821" t="str">
        <f t="shared" si="390"/>
        <v>Caja</v>
      </c>
      <c r="E821" s="55"/>
      <c r="M821" s="38">
        <f t="shared" ref="M821:X821" si="394">+$D814*G$611*(1+INFLACION)^($C814-$G$4)</f>
        <v>0</v>
      </c>
      <c r="N821" s="38">
        <f t="shared" si="394"/>
        <v>0</v>
      </c>
      <c r="O821" s="38">
        <f t="shared" si="394"/>
        <v>151.06949462898618</v>
      </c>
      <c r="P821" s="38">
        <f t="shared" si="394"/>
        <v>0</v>
      </c>
      <c r="Q821" s="38">
        <f t="shared" si="394"/>
        <v>155.75887016156426</v>
      </c>
      <c r="R821" s="38">
        <f t="shared" si="394"/>
        <v>160.30738835649294</v>
      </c>
      <c r="S821" s="38">
        <f t="shared" si="394"/>
        <v>186.71227011002085</v>
      </c>
      <c r="T821" s="38">
        <f t="shared" si="394"/>
        <v>0</v>
      </c>
      <c r="U821" s="38">
        <f t="shared" si="394"/>
        <v>0</v>
      </c>
      <c r="V821" s="38">
        <f t="shared" si="394"/>
        <v>0</v>
      </c>
      <c r="W821" s="38">
        <f t="shared" si="394"/>
        <v>0</v>
      </c>
      <c r="X821" s="38">
        <f t="shared" si="394"/>
        <v>0</v>
      </c>
    </row>
    <row r="822" spans="2:24">
      <c r="E822" s="55"/>
    </row>
    <row r="823" spans="2:24">
      <c r="B823" t="str">
        <f t="shared" si="390"/>
        <v>Construccion</v>
      </c>
      <c r="E823" s="55"/>
    </row>
    <row r="824" spans="2:24">
      <c r="B824" t="str">
        <f t="shared" si="390"/>
        <v>Ventas</v>
      </c>
      <c r="E824" s="55"/>
      <c r="M824" s="38">
        <f t="shared" ref="M824:X824" si="395">+$D814*G$614*(1+INFLACION)^($C814-$G$4)</f>
        <v>0</v>
      </c>
      <c r="N824" s="38">
        <f t="shared" si="395"/>
        <v>12123.326943976139</v>
      </c>
      <c r="O824" s="38">
        <f t="shared" si="395"/>
        <v>31016.180948938414</v>
      </c>
      <c r="P824" s="38">
        <f t="shared" si="395"/>
        <v>32687.255023324913</v>
      </c>
      <c r="Q824" s="38">
        <f t="shared" si="395"/>
        <v>31979.160496449887</v>
      </c>
      <c r="R824" s="38">
        <f t="shared" si="395"/>
        <v>29639.273617752395</v>
      </c>
      <c r="S824" s="38">
        <f t="shared" si="395"/>
        <v>37459.149190822907</v>
      </c>
      <c r="T824" s="38">
        <f t="shared" si="395"/>
        <v>0</v>
      </c>
      <c r="U824" s="38">
        <f t="shared" si="395"/>
        <v>0</v>
      </c>
      <c r="V824" s="38">
        <f t="shared" si="395"/>
        <v>0</v>
      </c>
      <c r="W824" s="38">
        <f t="shared" si="395"/>
        <v>0</v>
      </c>
      <c r="X824" s="38">
        <f t="shared" si="395"/>
        <v>0</v>
      </c>
    </row>
    <row r="825" spans="2:24">
      <c r="B825" t="str">
        <f t="shared" si="390"/>
        <v>Utilidad</v>
      </c>
      <c r="E825" s="55"/>
      <c r="M825" s="38">
        <f t="shared" ref="M825:X825" si="396">+$D814*G$615*(1+INFLACION)^($C814-$G$4)</f>
        <v>0</v>
      </c>
      <c r="N825" s="38">
        <f t="shared" si="396"/>
        <v>793.11484680217734</v>
      </c>
      <c r="O825" s="38">
        <f t="shared" si="396"/>
        <v>2029.0959499305486</v>
      </c>
      <c r="P825" s="38">
        <f t="shared" si="396"/>
        <v>2138.4185529277975</v>
      </c>
      <c r="Q825" s="38">
        <f t="shared" si="396"/>
        <v>2092.0946119172813</v>
      </c>
      <c r="R825" s="38">
        <f t="shared" si="396"/>
        <v>1939.0179002267864</v>
      </c>
      <c r="S825" s="38">
        <f t="shared" si="396"/>
        <v>2450.5985451940282</v>
      </c>
      <c r="T825" s="38">
        <f t="shared" si="396"/>
        <v>0</v>
      </c>
      <c r="U825" s="38">
        <f t="shared" si="396"/>
        <v>0</v>
      </c>
      <c r="V825" s="38">
        <f t="shared" si="396"/>
        <v>0</v>
      </c>
      <c r="W825" s="38">
        <f t="shared" si="396"/>
        <v>0</v>
      </c>
      <c r="X825" s="38">
        <f t="shared" si="396"/>
        <v>0</v>
      </c>
    </row>
    <row r="826" spans="2:24">
      <c r="B826" t="str">
        <f t="shared" si="390"/>
        <v>Caja</v>
      </c>
      <c r="E826" s="55"/>
      <c r="M826" s="38">
        <f t="shared" ref="M826:X826" si="397">+$D814*G$616*(1+INFLACION)^($C814-$G$4)</f>
        <v>0</v>
      </c>
      <c r="N826" s="38">
        <f t="shared" si="397"/>
        <v>0</v>
      </c>
      <c r="O826" s="38">
        <f t="shared" si="397"/>
        <v>0</v>
      </c>
      <c r="P826" s="38">
        <f t="shared" si="397"/>
        <v>2643.7161560072564</v>
      </c>
      <c r="Q826" s="38">
        <f t="shared" si="397"/>
        <v>2725.7802278273716</v>
      </c>
      <c r="R826" s="38">
        <f t="shared" si="397"/>
        <v>1683.2275777431771</v>
      </c>
      <c r="S826" s="38">
        <f t="shared" si="397"/>
        <v>4389.6164454208101</v>
      </c>
      <c r="T826" s="38">
        <f t="shared" si="397"/>
        <v>0</v>
      </c>
      <c r="U826" s="38">
        <f t="shared" si="397"/>
        <v>0</v>
      </c>
      <c r="V826" s="38">
        <f t="shared" si="397"/>
        <v>0</v>
      </c>
      <c r="W826" s="38">
        <f t="shared" si="397"/>
        <v>0</v>
      </c>
      <c r="X826" s="38">
        <f t="shared" si="397"/>
        <v>0</v>
      </c>
    </row>
    <row r="827" spans="2:24">
      <c r="E827" s="55"/>
    </row>
    <row r="828" spans="2:24">
      <c r="B828" t="str">
        <f t="shared" si="390"/>
        <v>Inmobiliario</v>
      </c>
      <c r="E828" s="55"/>
    </row>
    <row r="829" spans="2:24">
      <c r="B829" t="str">
        <f t="shared" si="390"/>
        <v>Ventas</v>
      </c>
      <c r="E829" s="55"/>
      <c r="M829" s="38">
        <f t="shared" ref="M829:X829" si="398">+$D814*G$619*(1+INFLACION)^($C814-$G$4)</f>
        <v>0</v>
      </c>
      <c r="N829" s="38">
        <f t="shared" si="398"/>
        <v>6654.992950738043</v>
      </c>
      <c r="O829" s="38">
        <f t="shared" si="398"/>
        <v>17004.068143284661</v>
      </c>
      <c r="P829" s="38">
        <f t="shared" si="398"/>
        <v>17679.936256224031</v>
      </c>
      <c r="Q829" s="38">
        <f t="shared" si="398"/>
        <v>17089.575381930539</v>
      </c>
      <c r="R829" s="38">
        <f t="shared" si="398"/>
        <v>15691.827396342851</v>
      </c>
      <c r="S829" s="38">
        <f t="shared" si="398"/>
        <v>19657.162312621553</v>
      </c>
      <c r="T829" s="38">
        <f t="shared" si="398"/>
        <v>0</v>
      </c>
      <c r="U829" s="38">
        <f t="shared" si="398"/>
        <v>0</v>
      </c>
      <c r="V829" s="38">
        <f t="shared" si="398"/>
        <v>0</v>
      </c>
      <c r="W829" s="38">
        <f t="shared" si="398"/>
        <v>0</v>
      </c>
      <c r="X829" s="38">
        <f t="shared" si="398"/>
        <v>0</v>
      </c>
    </row>
    <row r="830" spans="2:24">
      <c r="B830" t="str">
        <f t="shared" si="390"/>
        <v>Utilidad</v>
      </c>
      <c r="E830" s="55"/>
      <c r="M830" s="38">
        <f t="shared" ref="M830:X830" si="399">$D814*G$620*(1+INFLACION)^($C814-$G$4)</f>
        <v>0</v>
      </c>
      <c r="N830" s="38">
        <f t="shared" si="399"/>
        <v>1367.9110845156572</v>
      </c>
      <c r="O830" s="38">
        <f t="shared" si="399"/>
        <v>3499.6480681796343</v>
      </c>
      <c r="P830" s="38">
        <f t="shared" si="399"/>
        <v>3688.2003327488751</v>
      </c>
      <c r="Q830" s="38">
        <f t="shared" si="399"/>
        <v>3608.3039184499512</v>
      </c>
      <c r="R830" s="38">
        <f t="shared" si="399"/>
        <v>3344.2875133266602</v>
      </c>
      <c r="S830" s="38">
        <f t="shared" si="399"/>
        <v>4226.6273632183893</v>
      </c>
      <c r="T830" s="38">
        <f t="shared" si="399"/>
        <v>0</v>
      </c>
      <c r="U830" s="38">
        <f t="shared" si="399"/>
        <v>0</v>
      </c>
      <c r="V830" s="38">
        <f t="shared" si="399"/>
        <v>0</v>
      </c>
      <c r="W830" s="38">
        <f t="shared" si="399"/>
        <v>0</v>
      </c>
      <c r="X830" s="38">
        <f t="shared" si="399"/>
        <v>0</v>
      </c>
    </row>
    <row r="831" spans="2:24">
      <c r="B831" t="str">
        <f t="shared" si="390"/>
        <v>Caja</v>
      </c>
      <c r="E831" s="55"/>
      <c r="M831" s="38">
        <f t="shared" ref="M831:X831" si="400">+$D814*G$621*(1+INFLACION)^($C814-$G$4)</f>
        <v>0</v>
      </c>
      <c r="N831" s="38">
        <f t="shared" si="400"/>
        <v>0</v>
      </c>
      <c r="O831" s="38">
        <f t="shared" si="400"/>
        <v>0</v>
      </c>
      <c r="P831" s="38">
        <f t="shared" si="400"/>
        <v>4559.7036150521899</v>
      </c>
      <c r="Q831" s="38">
        <f t="shared" si="400"/>
        <v>4701.2422004611508</v>
      </c>
      <c r="R831" s="38">
        <f t="shared" si="400"/>
        <v>2903.1175883807773</v>
      </c>
      <c r="S831" s="38">
        <f t="shared" si="400"/>
        <v>7570.9148765450482</v>
      </c>
      <c r="T831" s="38">
        <f t="shared" si="400"/>
        <v>0</v>
      </c>
      <c r="U831" s="38">
        <f t="shared" si="400"/>
        <v>0</v>
      </c>
      <c r="V831" s="38">
        <f t="shared" si="400"/>
        <v>0</v>
      </c>
      <c r="W831" s="38">
        <f t="shared" si="400"/>
        <v>0</v>
      </c>
      <c r="X831" s="38">
        <f t="shared" si="400"/>
        <v>0</v>
      </c>
    </row>
    <row r="832" spans="2:24">
      <c r="E832" s="55"/>
    </row>
    <row r="833" spans="2:25">
      <c r="B833" t="str">
        <f t="shared" si="390"/>
        <v>utilidad como inversionista</v>
      </c>
      <c r="E833" s="55"/>
    </row>
    <row r="834" spans="2:25">
      <c r="B834" t="str">
        <f t="shared" si="390"/>
        <v>Ventas</v>
      </c>
      <c r="E834" s="55"/>
      <c r="M834" s="38">
        <f t="shared" ref="M834:X834" si="401">+$D814*G$624*(1+INFLACION)^($C814-$G$4)*$E814</f>
        <v>0</v>
      </c>
      <c r="N834" s="38">
        <f t="shared" si="401"/>
        <v>683.95554225782814</v>
      </c>
      <c r="O834" s="38">
        <f t="shared" si="401"/>
        <v>1771.8137153500377</v>
      </c>
      <c r="P834" s="38">
        <f t="shared" si="401"/>
        <v>2107.5430472850721</v>
      </c>
      <c r="Q834" s="38">
        <f t="shared" si="401"/>
        <v>2269.2534954271709</v>
      </c>
      <c r="R834" s="38">
        <f t="shared" si="401"/>
        <v>2250.5331005485227</v>
      </c>
      <c r="S834" s="38">
        <f t="shared" si="401"/>
        <v>3019.0195451559939</v>
      </c>
      <c r="T834" s="38">
        <f t="shared" si="401"/>
        <v>0</v>
      </c>
      <c r="U834" s="38">
        <f t="shared" si="401"/>
        <v>0</v>
      </c>
      <c r="V834" s="38">
        <f t="shared" si="401"/>
        <v>0</v>
      </c>
      <c r="W834" s="38">
        <f t="shared" si="401"/>
        <v>0</v>
      </c>
      <c r="X834" s="38">
        <f t="shared" si="401"/>
        <v>0</v>
      </c>
    </row>
    <row r="835" spans="2:25">
      <c r="B835" t="str">
        <f t="shared" si="390"/>
        <v>Caja</v>
      </c>
      <c r="E835" s="55"/>
      <c r="M835" s="38">
        <f t="shared" ref="M835:X835" si="402">+$D814*G$625*(1+INFLACION)^($C814-$G$4)*$E814</f>
        <v>0</v>
      </c>
      <c r="N835" s="38">
        <f t="shared" si="402"/>
        <v>0</v>
      </c>
      <c r="O835" s="38">
        <f t="shared" si="402"/>
        <v>0</v>
      </c>
      <c r="P835" s="38">
        <f t="shared" si="402"/>
        <v>0</v>
      </c>
      <c r="Q835" s="38">
        <f t="shared" si="402"/>
        <v>0</v>
      </c>
      <c r="R835" s="38">
        <f t="shared" si="402"/>
        <v>2686.4241145492283</v>
      </c>
      <c r="S835" s="38">
        <f t="shared" si="402"/>
        <v>5390.3349379340707</v>
      </c>
      <c r="T835" s="38">
        <f t="shared" si="402"/>
        <v>4025.3593935413255</v>
      </c>
      <c r="U835" s="38">
        <f t="shared" si="402"/>
        <v>0</v>
      </c>
      <c r="V835" s="38">
        <f t="shared" si="402"/>
        <v>0</v>
      </c>
      <c r="W835" s="38">
        <f t="shared" si="402"/>
        <v>0</v>
      </c>
      <c r="X835" s="38">
        <f t="shared" si="402"/>
        <v>0</v>
      </c>
    </row>
    <row r="836" spans="2:25">
      <c r="E836" s="55"/>
    </row>
    <row r="837" spans="2:25">
      <c r="B837" t="str">
        <f t="shared" si="390"/>
        <v>Inversiones en proyectos caja</v>
      </c>
      <c r="E837" s="55"/>
      <c r="M837" s="38">
        <f t="shared" ref="M837:X837" si="403">$D814*G$627*(1+INFLACION)^($C814-$G$4)*$E814</f>
        <v>7085.7865035776022</v>
      </c>
      <c r="N837" s="38">
        <f t="shared" si="403"/>
        <v>2024.5104295936005</v>
      </c>
      <c r="O837" s="38">
        <f t="shared" si="403"/>
        <v>0</v>
      </c>
      <c r="P837" s="38">
        <f t="shared" si="403"/>
        <v>0</v>
      </c>
      <c r="Q837" s="38">
        <f t="shared" si="403"/>
        <v>0</v>
      </c>
      <c r="R837" s="38">
        <f t="shared" si="403"/>
        <v>0</v>
      </c>
      <c r="S837" s="38">
        <f t="shared" si="403"/>
        <v>0</v>
      </c>
      <c r="T837" s="38">
        <f t="shared" si="403"/>
        <v>0</v>
      </c>
      <c r="U837" s="38">
        <f t="shared" si="403"/>
        <v>0</v>
      </c>
      <c r="V837" s="38">
        <f t="shared" si="403"/>
        <v>0</v>
      </c>
      <c r="W837" s="38">
        <f t="shared" si="403"/>
        <v>0</v>
      </c>
      <c r="X837" s="38">
        <f t="shared" si="403"/>
        <v>0</v>
      </c>
    </row>
    <row r="838" spans="2:25">
      <c r="B838" t="str">
        <f t="shared" si="390"/>
        <v>DesInversiones en proyectos caja</v>
      </c>
      <c r="E838" s="55"/>
      <c r="M838" s="38">
        <f t="shared" ref="M838:X838" si="404">+$D814*G$628*(1+INFLACION)^($C814-$G$4)*$E814</f>
        <v>0</v>
      </c>
      <c r="N838" s="38">
        <f t="shared" si="404"/>
        <v>0</v>
      </c>
      <c r="O838" s="38">
        <f t="shared" si="404"/>
        <v>0</v>
      </c>
      <c r="P838" s="38">
        <f t="shared" si="404"/>
        <v>0</v>
      </c>
      <c r="Q838" s="38">
        <f t="shared" si="404"/>
        <v>7085.7865035776022</v>
      </c>
      <c r="R838" s="38">
        <f t="shared" si="404"/>
        <v>2024.5104295936005</v>
      </c>
      <c r="S838" s="38">
        <f t="shared" si="404"/>
        <v>0</v>
      </c>
      <c r="T838" s="38">
        <f t="shared" si="404"/>
        <v>0</v>
      </c>
      <c r="U838" s="38">
        <f t="shared" si="404"/>
        <v>0</v>
      </c>
      <c r="V838" s="38">
        <f t="shared" si="404"/>
        <v>0</v>
      </c>
      <c r="W838" s="38">
        <f t="shared" si="404"/>
        <v>0</v>
      </c>
      <c r="X838" s="38">
        <f t="shared" si="404"/>
        <v>0</v>
      </c>
    </row>
    <row r="839" spans="2:25">
      <c r="B839" t="str">
        <f>+B809</f>
        <v>Escrituración</v>
      </c>
      <c r="M839" s="38">
        <f t="shared" ref="M839:X839" si="405">+$D814*G$629*(1+INFLACION)^($C814-$G$4)</f>
        <v>0</v>
      </c>
      <c r="N839" s="38">
        <f t="shared" si="405"/>
        <v>0</v>
      </c>
      <c r="O839" s="38">
        <f t="shared" si="405"/>
        <v>0</v>
      </c>
      <c r="P839" s="38">
        <f t="shared" si="405"/>
        <v>65402.994687774823</v>
      </c>
      <c r="Q839" s="38">
        <f t="shared" si="405"/>
        <v>67433.180886513452</v>
      </c>
      <c r="R839" s="38">
        <f t="shared" si="405"/>
        <v>69402.385272023355</v>
      </c>
      <c r="S839" s="38">
        <f t="shared" si="405"/>
        <v>80833.934343519068</v>
      </c>
      <c r="T839" s="38">
        <f t="shared" si="405"/>
        <v>0</v>
      </c>
      <c r="U839" s="38">
        <f t="shared" si="405"/>
        <v>0</v>
      </c>
      <c r="V839" s="38">
        <f t="shared" si="405"/>
        <v>0</v>
      </c>
      <c r="W839" s="38">
        <f t="shared" si="405"/>
        <v>0</v>
      </c>
      <c r="X839" s="38">
        <f t="shared" si="405"/>
        <v>0</v>
      </c>
    </row>
    <row r="840" spans="2:25">
      <c r="B840" t="s">
        <v>359</v>
      </c>
      <c r="E840" s="55"/>
      <c r="M840" s="38">
        <f t="shared" ref="M840:X840" si="406">+$D814*G$630*(1+INFLACION)^($C814-$G$4)</f>
        <v>0</v>
      </c>
      <c r="N840" s="38">
        <f t="shared" si="406"/>
        <v>0</v>
      </c>
      <c r="O840" s="38">
        <f t="shared" si="406"/>
        <v>0</v>
      </c>
      <c r="P840" s="38">
        <f t="shared" si="406"/>
        <v>42340.104996913164</v>
      </c>
      <c r="Q840" s="38">
        <f t="shared" si="406"/>
        <v>43654.391861424963</v>
      </c>
      <c r="R840" s="38">
        <f t="shared" si="406"/>
        <v>44929.200772559685</v>
      </c>
      <c r="S840" s="38">
        <f t="shared" si="406"/>
        <v>52329.67211603724</v>
      </c>
      <c r="T840" s="38">
        <f t="shared" si="406"/>
        <v>0</v>
      </c>
      <c r="U840" s="38">
        <f t="shared" si="406"/>
        <v>0</v>
      </c>
      <c r="V840" s="38">
        <f t="shared" si="406"/>
        <v>0</v>
      </c>
      <c r="W840" s="38">
        <f t="shared" si="406"/>
        <v>0</v>
      </c>
      <c r="X840" s="38">
        <f t="shared" si="406"/>
        <v>0</v>
      </c>
    </row>
    <row r="841" spans="2:25">
      <c r="E841" s="55"/>
    </row>
    <row r="842" spans="2:25">
      <c r="E842" s="55"/>
    </row>
    <row r="843" spans="2:25">
      <c r="C843" t="s">
        <v>615</v>
      </c>
      <c r="D843" t="s">
        <v>616</v>
      </c>
      <c r="E843" s="55" t="s">
        <v>617</v>
      </c>
    </row>
    <row r="844" spans="2:25">
      <c r="B844" t="s">
        <v>618</v>
      </c>
      <c r="C844">
        <f>+C814+1</f>
        <v>2026</v>
      </c>
      <c r="D844">
        <f>+VLOOKUP(C844,$B$545:$C$567,2,FALSE)</f>
        <v>4</v>
      </c>
      <c r="E844" s="55">
        <f>+HLOOKUP('Proyectos Inmob detall'!C844,Proyecciones!$G$56:$AG$57,2,FALSE)</f>
        <v>1</v>
      </c>
    </row>
    <row r="845" spans="2:25">
      <c r="B845" t="str">
        <f>+B815</f>
        <v>Arquitectura</v>
      </c>
      <c r="E845" s="55"/>
    </row>
    <row r="846" spans="2:25">
      <c r="B846" t="str">
        <f t="shared" ref="B846:B868" si="407">+B816</f>
        <v>Ventas</v>
      </c>
      <c r="E846" s="55"/>
      <c r="N846" s="38">
        <f t="shared" ref="N846:Y846" si="408">+$D844*G$606*(1+INFLACION)^($C844-$G$4)</f>
        <v>0</v>
      </c>
      <c r="O846" s="38">
        <f t="shared" si="408"/>
        <v>117.83420581060921</v>
      </c>
      <c r="P846" s="38">
        <f t="shared" si="408"/>
        <v>301.46568398968179</v>
      </c>
      <c r="Q846" s="38">
        <f t="shared" si="408"/>
        <v>317.70789929213004</v>
      </c>
      <c r="R846" s="38">
        <f t="shared" si="408"/>
        <v>310.825485199139</v>
      </c>
      <c r="S846" s="38">
        <f t="shared" si="408"/>
        <v>288.08265946226629</v>
      </c>
      <c r="T846" s="38">
        <f t="shared" si="408"/>
        <v>364.08892671454072</v>
      </c>
      <c r="U846" s="38">
        <f t="shared" si="408"/>
        <v>0</v>
      </c>
      <c r="V846" s="38">
        <f t="shared" si="408"/>
        <v>0</v>
      </c>
      <c r="W846" s="38">
        <f t="shared" si="408"/>
        <v>0</v>
      </c>
      <c r="X846" s="38">
        <f t="shared" si="408"/>
        <v>0</v>
      </c>
      <c r="Y846" s="38">
        <f t="shared" si="408"/>
        <v>0</v>
      </c>
    </row>
    <row r="847" spans="2:25">
      <c r="B847" t="str">
        <f t="shared" si="407"/>
        <v>Caja</v>
      </c>
      <c r="E847" s="55"/>
      <c r="N847" s="38">
        <f t="shared" ref="N847:Y847" si="409">+$D844*G$607*(1+INFLACION)^($C844-$G$4)</f>
        <v>0</v>
      </c>
      <c r="O847" s="38">
        <f t="shared" si="409"/>
        <v>0</v>
      </c>
      <c r="P847" s="38">
        <f t="shared" si="409"/>
        <v>392.780686035364</v>
      </c>
      <c r="Q847" s="38">
        <f t="shared" si="409"/>
        <v>0</v>
      </c>
      <c r="R847" s="38">
        <f t="shared" si="409"/>
        <v>404.97306242006704</v>
      </c>
      <c r="S847" s="38">
        <f t="shared" si="409"/>
        <v>416.79920972688166</v>
      </c>
      <c r="T847" s="38">
        <f t="shared" si="409"/>
        <v>485.45190228605418</v>
      </c>
      <c r="U847" s="38">
        <f t="shared" si="409"/>
        <v>0</v>
      </c>
      <c r="V847" s="38">
        <f t="shared" si="409"/>
        <v>0</v>
      </c>
      <c r="W847" s="38">
        <f t="shared" si="409"/>
        <v>0</v>
      </c>
      <c r="X847" s="38">
        <f t="shared" si="409"/>
        <v>0</v>
      </c>
      <c r="Y847" s="38">
        <f t="shared" si="409"/>
        <v>0</v>
      </c>
    </row>
    <row r="848" spans="2:25">
      <c r="E848" s="55"/>
    </row>
    <row r="849" spans="2:25">
      <c r="B849" t="str">
        <f t="shared" si="407"/>
        <v>Preconstrucción</v>
      </c>
      <c r="E849" s="55"/>
    </row>
    <row r="850" spans="2:25">
      <c r="B850" t="str">
        <f t="shared" si="407"/>
        <v>Ventas</v>
      </c>
      <c r="E850" s="55"/>
      <c r="N850" s="38">
        <f t="shared" ref="N850:Y850" si="410">$D844*G$610*(1+INFLACION)^($C844-$G$4)</f>
        <v>0</v>
      </c>
      <c r="O850" s="38">
        <f t="shared" si="410"/>
        <v>47.133682324243679</v>
      </c>
      <c r="P850" s="38">
        <f t="shared" si="410"/>
        <v>120.5862735958727</v>
      </c>
      <c r="Q850" s="38">
        <f t="shared" si="410"/>
        <v>127.08315971685197</v>
      </c>
      <c r="R850" s="38">
        <f t="shared" si="410"/>
        <v>124.33019407965556</v>
      </c>
      <c r="S850" s="38">
        <f t="shared" si="410"/>
        <v>115.23306378490652</v>
      </c>
      <c r="T850" s="38">
        <f t="shared" si="410"/>
        <v>145.63557068581622</v>
      </c>
      <c r="U850" s="38">
        <f t="shared" si="410"/>
        <v>0</v>
      </c>
      <c r="V850" s="38">
        <f t="shared" si="410"/>
        <v>0</v>
      </c>
      <c r="W850" s="38">
        <f t="shared" si="410"/>
        <v>0</v>
      </c>
      <c r="X850" s="38">
        <f t="shared" si="410"/>
        <v>0</v>
      </c>
      <c r="Y850" s="38">
        <f t="shared" si="410"/>
        <v>0</v>
      </c>
    </row>
    <row r="851" spans="2:25">
      <c r="B851" t="str">
        <f t="shared" si="407"/>
        <v>Caja</v>
      </c>
      <c r="E851" s="55"/>
      <c r="N851" s="38">
        <f t="shared" ref="N851:Y851" si="411">+$D844*G$611*(1+INFLACION)^($C844-$G$4)</f>
        <v>0</v>
      </c>
      <c r="O851" s="38">
        <f t="shared" si="411"/>
        <v>0</v>
      </c>
      <c r="P851" s="38">
        <f t="shared" si="411"/>
        <v>157.11227441414559</v>
      </c>
      <c r="Q851" s="38">
        <f t="shared" si="411"/>
        <v>0</v>
      </c>
      <c r="R851" s="38">
        <f t="shared" si="411"/>
        <v>161.9892249680268</v>
      </c>
      <c r="S851" s="38">
        <f t="shared" si="411"/>
        <v>166.71968389075263</v>
      </c>
      <c r="T851" s="38">
        <f t="shared" si="411"/>
        <v>194.18076091442165</v>
      </c>
      <c r="U851" s="38">
        <f t="shared" si="411"/>
        <v>0</v>
      </c>
      <c r="V851" s="38">
        <f t="shared" si="411"/>
        <v>0</v>
      </c>
      <c r="W851" s="38">
        <f t="shared" si="411"/>
        <v>0</v>
      </c>
      <c r="X851" s="38">
        <f t="shared" si="411"/>
        <v>0</v>
      </c>
      <c r="Y851" s="38">
        <f t="shared" si="411"/>
        <v>0</v>
      </c>
    </row>
    <row r="852" spans="2:25">
      <c r="E852" s="55"/>
    </row>
    <row r="853" spans="2:25">
      <c r="B853" t="str">
        <f t="shared" si="407"/>
        <v>Construccion</v>
      </c>
      <c r="E853" s="55"/>
    </row>
    <row r="854" spans="2:25">
      <c r="B854" t="str">
        <f t="shared" si="407"/>
        <v>Ventas</v>
      </c>
      <c r="E854" s="55"/>
      <c r="N854" s="38">
        <f t="shared" ref="N854:Y854" si="412">+$D844*G$614*(1+INFLACION)^($C844-$G$4)</f>
        <v>0</v>
      </c>
      <c r="O854" s="38">
        <f t="shared" si="412"/>
        <v>12608.260021735183</v>
      </c>
      <c r="P854" s="38">
        <f t="shared" si="412"/>
        <v>32256.828186895949</v>
      </c>
      <c r="Q854" s="38">
        <f t="shared" si="412"/>
        <v>33994.745224257909</v>
      </c>
      <c r="R854" s="38">
        <f t="shared" si="412"/>
        <v>33258.32691630788</v>
      </c>
      <c r="S854" s="38">
        <f t="shared" si="412"/>
        <v>30824.844562462487</v>
      </c>
      <c r="T854" s="38">
        <f t="shared" si="412"/>
        <v>38957.515158455819</v>
      </c>
      <c r="U854" s="38">
        <f t="shared" si="412"/>
        <v>0</v>
      </c>
      <c r="V854" s="38">
        <f t="shared" si="412"/>
        <v>0</v>
      </c>
      <c r="W854" s="38">
        <f t="shared" si="412"/>
        <v>0</v>
      </c>
      <c r="X854" s="38">
        <f t="shared" si="412"/>
        <v>0</v>
      </c>
      <c r="Y854" s="38">
        <f t="shared" si="412"/>
        <v>0</v>
      </c>
    </row>
    <row r="855" spans="2:25">
      <c r="B855" t="str">
        <f t="shared" si="407"/>
        <v>Utilidad</v>
      </c>
      <c r="E855" s="55"/>
      <c r="N855" s="38">
        <f t="shared" ref="N855:Y855" si="413">+$D844*G$615*(1+INFLACION)^($C844-$G$4)</f>
        <v>0</v>
      </c>
      <c r="O855" s="38">
        <f t="shared" si="413"/>
        <v>824.83944067426432</v>
      </c>
      <c r="P855" s="38">
        <f t="shared" si="413"/>
        <v>2110.2597879277705</v>
      </c>
      <c r="Q855" s="38">
        <f t="shared" si="413"/>
        <v>2223.9552950449092</v>
      </c>
      <c r="R855" s="38">
        <f t="shared" si="413"/>
        <v>2175.7783963939728</v>
      </c>
      <c r="S855" s="38">
        <f t="shared" si="413"/>
        <v>2016.5786162358577</v>
      </c>
      <c r="T855" s="38">
        <f t="shared" si="413"/>
        <v>2548.6224870017891</v>
      </c>
      <c r="U855" s="38">
        <f t="shared" si="413"/>
        <v>0</v>
      </c>
      <c r="V855" s="38">
        <f t="shared" si="413"/>
        <v>0</v>
      </c>
      <c r="W855" s="38">
        <f t="shared" si="413"/>
        <v>0</v>
      </c>
      <c r="X855" s="38">
        <f t="shared" si="413"/>
        <v>0</v>
      </c>
      <c r="Y855" s="38">
        <f t="shared" si="413"/>
        <v>0</v>
      </c>
    </row>
    <row r="856" spans="2:25">
      <c r="B856" t="str">
        <f t="shared" si="407"/>
        <v>Caja</v>
      </c>
      <c r="E856" s="55"/>
      <c r="N856" s="38">
        <f t="shared" ref="N856:Y856" si="414">+$D844*G$616*(1+INFLACION)^($C844-$G$4)</f>
        <v>0</v>
      </c>
      <c r="O856" s="38">
        <f t="shared" si="414"/>
        <v>0</v>
      </c>
      <c r="P856" s="38">
        <f t="shared" si="414"/>
        <v>0</v>
      </c>
      <c r="Q856" s="38">
        <f t="shared" si="414"/>
        <v>2749.4648022475462</v>
      </c>
      <c r="R856" s="38">
        <f t="shared" si="414"/>
        <v>2834.8114369404661</v>
      </c>
      <c r="S856" s="38">
        <f t="shared" si="414"/>
        <v>1750.556680852904</v>
      </c>
      <c r="T856" s="38">
        <f t="shared" si="414"/>
        <v>4565.2011032376422</v>
      </c>
      <c r="U856" s="38">
        <f t="shared" si="414"/>
        <v>0</v>
      </c>
      <c r="V856" s="38">
        <f t="shared" si="414"/>
        <v>0</v>
      </c>
      <c r="W856" s="38">
        <f t="shared" si="414"/>
        <v>0</v>
      </c>
      <c r="X856" s="38">
        <f t="shared" si="414"/>
        <v>0</v>
      </c>
      <c r="Y856" s="38">
        <f t="shared" si="414"/>
        <v>0</v>
      </c>
    </row>
    <row r="857" spans="2:25">
      <c r="E857" s="55"/>
    </row>
    <row r="858" spans="2:25">
      <c r="B858" t="str">
        <f t="shared" si="407"/>
        <v>Inmobiliario</v>
      </c>
      <c r="E858" s="55"/>
    </row>
    <row r="859" spans="2:25">
      <c r="B859" t="str">
        <f t="shared" si="407"/>
        <v>Ventas</v>
      </c>
      <c r="E859" s="55"/>
      <c r="N859" s="38">
        <f t="shared" ref="N859:Y859" si="415">+$D844*G$619*(1+INFLACION)^($C844-$G$4)</f>
        <v>0</v>
      </c>
      <c r="O859" s="38">
        <f t="shared" si="415"/>
        <v>6921.1926687675641</v>
      </c>
      <c r="P859" s="38">
        <f t="shared" si="415"/>
        <v>17684.230869016046</v>
      </c>
      <c r="Q859" s="38">
        <f t="shared" si="415"/>
        <v>18387.133706472989</v>
      </c>
      <c r="R859" s="38">
        <f t="shared" si="415"/>
        <v>17773.158397207761</v>
      </c>
      <c r="S859" s="38">
        <f t="shared" si="415"/>
        <v>16319.500492196563</v>
      </c>
      <c r="T859" s="38">
        <f t="shared" si="415"/>
        <v>20443.448805126412</v>
      </c>
      <c r="U859" s="38">
        <f t="shared" si="415"/>
        <v>0</v>
      </c>
      <c r="V859" s="38">
        <f t="shared" si="415"/>
        <v>0</v>
      </c>
      <c r="W859" s="38">
        <f t="shared" si="415"/>
        <v>0</v>
      </c>
      <c r="X859" s="38">
        <f t="shared" si="415"/>
        <v>0</v>
      </c>
      <c r="Y859" s="38">
        <f t="shared" si="415"/>
        <v>0</v>
      </c>
    </row>
    <row r="860" spans="2:25">
      <c r="B860" t="str">
        <f t="shared" si="407"/>
        <v>Utilidad</v>
      </c>
      <c r="E860" s="55"/>
      <c r="N860" s="38">
        <f t="shared" ref="N860:Y860" si="416">$D844*G$620*(1+INFLACION)^($C844-$G$4)</f>
        <v>0</v>
      </c>
      <c r="O860" s="38">
        <f t="shared" si="416"/>
        <v>1422.6275278962833</v>
      </c>
      <c r="P860" s="38">
        <f t="shared" si="416"/>
        <v>3639.6339909068192</v>
      </c>
      <c r="Q860" s="38">
        <f t="shared" si="416"/>
        <v>3835.7283460588296</v>
      </c>
      <c r="R860" s="38">
        <f t="shared" si="416"/>
        <v>3752.6360751879492</v>
      </c>
      <c r="S860" s="38">
        <f t="shared" si="416"/>
        <v>3478.0590138597263</v>
      </c>
      <c r="T860" s="38">
        <f t="shared" si="416"/>
        <v>4395.6924577471245</v>
      </c>
      <c r="U860" s="38">
        <f t="shared" si="416"/>
        <v>0</v>
      </c>
      <c r="V860" s="38">
        <f t="shared" si="416"/>
        <v>0</v>
      </c>
      <c r="W860" s="38">
        <f t="shared" si="416"/>
        <v>0</v>
      </c>
      <c r="X860" s="38">
        <f t="shared" si="416"/>
        <v>0</v>
      </c>
      <c r="Y860" s="38">
        <f t="shared" si="416"/>
        <v>0</v>
      </c>
    </row>
    <row r="861" spans="2:25">
      <c r="B861" t="str">
        <f t="shared" si="407"/>
        <v>Caja</v>
      </c>
      <c r="E861" s="55"/>
      <c r="N861" s="38">
        <f t="shared" ref="N861:Y861" si="417">+$D844*G$621*(1+INFLACION)^($C844-$G$4)</f>
        <v>0</v>
      </c>
      <c r="O861" s="38">
        <f t="shared" si="417"/>
        <v>0</v>
      </c>
      <c r="P861" s="38">
        <f t="shared" si="417"/>
        <v>0</v>
      </c>
      <c r="Q861" s="38">
        <f t="shared" si="417"/>
        <v>4742.0917596542768</v>
      </c>
      <c r="R861" s="38">
        <f t="shared" si="417"/>
        <v>4889.2918884795963</v>
      </c>
      <c r="S861" s="38">
        <f t="shared" si="417"/>
        <v>3019.2422919160081</v>
      </c>
      <c r="T861" s="38">
        <f t="shared" si="417"/>
        <v>7873.751471606849</v>
      </c>
      <c r="U861" s="38">
        <f t="shared" si="417"/>
        <v>0</v>
      </c>
      <c r="V861" s="38">
        <f t="shared" si="417"/>
        <v>0</v>
      </c>
      <c r="W861" s="38">
        <f t="shared" si="417"/>
        <v>0</v>
      </c>
      <c r="X861" s="38">
        <f t="shared" si="417"/>
        <v>0</v>
      </c>
      <c r="Y861" s="38">
        <f t="shared" si="417"/>
        <v>0</v>
      </c>
    </row>
    <row r="862" spans="2:25">
      <c r="E862" s="55"/>
    </row>
    <row r="863" spans="2:25">
      <c r="B863" t="str">
        <f t="shared" si="407"/>
        <v>utilidad como inversionista</v>
      </c>
      <c r="E863" s="55"/>
    </row>
    <row r="864" spans="2:25">
      <c r="B864" t="str">
        <f t="shared" si="407"/>
        <v>Ventas</v>
      </c>
      <c r="E864" s="55"/>
      <c r="N864" s="38">
        <f t="shared" ref="N864:Y864" si="418">+$D844*G$624*(1+INFLACION)^($C844-$G$4)*$E844</f>
        <v>0</v>
      </c>
      <c r="O864" s="38">
        <f t="shared" si="418"/>
        <v>711.31376394814117</v>
      </c>
      <c r="P864" s="38">
        <f t="shared" si="418"/>
        <v>1842.686263964039</v>
      </c>
      <c r="Q864" s="38">
        <f t="shared" si="418"/>
        <v>2191.844769176475</v>
      </c>
      <c r="R864" s="38">
        <f t="shared" si="418"/>
        <v>2360.0236352442575</v>
      </c>
      <c r="S864" s="38">
        <f t="shared" si="418"/>
        <v>2340.5544245704632</v>
      </c>
      <c r="T864" s="38">
        <f t="shared" si="418"/>
        <v>3139.7803269622332</v>
      </c>
      <c r="U864" s="38">
        <f t="shared" si="418"/>
        <v>0</v>
      </c>
      <c r="V864" s="38">
        <f t="shared" si="418"/>
        <v>0</v>
      </c>
      <c r="W864" s="38">
        <f t="shared" si="418"/>
        <v>0</v>
      </c>
      <c r="X864" s="38">
        <f t="shared" si="418"/>
        <v>0</v>
      </c>
      <c r="Y864" s="38">
        <f t="shared" si="418"/>
        <v>0</v>
      </c>
    </row>
    <row r="865" spans="2:26">
      <c r="B865" t="str">
        <f t="shared" si="407"/>
        <v>Caja</v>
      </c>
      <c r="E865" s="55"/>
      <c r="N865" s="38">
        <f t="shared" ref="N865:Y865" si="419">+$D844*G$625*(1+INFLACION)^($C844-$G$4)*$E844</f>
        <v>0</v>
      </c>
      <c r="O865" s="38">
        <f t="shared" si="419"/>
        <v>0</v>
      </c>
      <c r="P865" s="38">
        <f t="shared" si="419"/>
        <v>0</v>
      </c>
      <c r="Q865" s="38">
        <f t="shared" si="419"/>
        <v>0</v>
      </c>
      <c r="R865" s="38">
        <f t="shared" si="419"/>
        <v>0</v>
      </c>
      <c r="S865" s="38">
        <f t="shared" si="419"/>
        <v>2793.8810791311971</v>
      </c>
      <c r="T865" s="38">
        <f t="shared" si="419"/>
        <v>5605.9483354514332</v>
      </c>
      <c r="U865" s="38">
        <f t="shared" si="419"/>
        <v>4186.3737692829782</v>
      </c>
      <c r="V865" s="38">
        <f t="shared" si="419"/>
        <v>0</v>
      </c>
      <c r="W865" s="38">
        <f t="shared" si="419"/>
        <v>0</v>
      </c>
      <c r="X865" s="38">
        <f t="shared" si="419"/>
        <v>0</v>
      </c>
      <c r="Y865" s="38">
        <f t="shared" si="419"/>
        <v>0</v>
      </c>
    </row>
    <row r="866" spans="2:26">
      <c r="E866" s="55"/>
    </row>
    <row r="867" spans="2:26">
      <c r="B867" t="str">
        <f t="shared" si="407"/>
        <v>Inversiones en proyectos caja</v>
      </c>
      <c r="E867" s="55"/>
      <c r="N867" s="38">
        <f t="shared" ref="N867:Y867" si="420">$D844*G$627*(1+INFLACION)^($C844-$G$4)*$E844</f>
        <v>7369.2179637207055</v>
      </c>
      <c r="O867" s="38">
        <f t="shared" si="420"/>
        <v>2105.4908467773444</v>
      </c>
      <c r="P867" s="38">
        <f t="shared" si="420"/>
        <v>0</v>
      </c>
      <c r="Q867" s="38">
        <f t="shared" si="420"/>
        <v>0</v>
      </c>
      <c r="R867" s="38">
        <f t="shared" si="420"/>
        <v>0</v>
      </c>
      <c r="S867" s="38">
        <f t="shared" si="420"/>
        <v>0</v>
      </c>
      <c r="T867" s="38">
        <f t="shared" si="420"/>
        <v>0</v>
      </c>
      <c r="U867" s="38">
        <f t="shared" si="420"/>
        <v>0</v>
      </c>
      <c r="V867" s="38">
        <f t="shared" si="420"/>
        <v>0</v>
      </c>
      <c r="W867" s="38">
        <f t="shared" si="420"/>
        <v>0</v>
      </c>
      <c r="X867" s="38">
        <f t="shared" si="420"/>
        <v>0</v>
      </c>
      <c r="Y867" s="38">
        <f t="shared" si="420"/>
        <v>0</v>
      </c>
    </row>
    <row r="868" spans="2:26">
      <c r="B868" t="str">
        <f t="shared" si="407"/>
        <v>DesInversiones en proyectos caja</v>
      </c>
      <c r="E868" s="55"/>
      <c r="N868" s="38">
        <f t="shared" ref="N868:Y868" si="421">+$D844*G$628*(1+INFLACION)^($C844-$G$4)*$E844</f>
        <v>0</v>
      </c>
      <c r="O868" s="38">
        <f t="shared" si="421"/>
        <v>0</v>
      </c>
      <c r="P868" s="38">
        <f t="shared" si="421"/>
        <v>0</v>
      </c>
      <c r="Q868" s="38">
        <f t="shared" si="421"/>
        <v>0</v>
      </c>
      <c r="R868" s="38">
        <f t="shared" si="421"/>
        <v>7369.2179637207055</v>
      </c>
      <c r="S868" s="38">
        <f t="shared" si="421"/>
        <v>2105.4908467773444</v>
      </c>
      <c r="T868" s="38">
        <f t="shared" si="421"/>
        <v>0</v>
      </c>
      <c r="U868" s="38">
        <f t="shared" si="421"/>
        <v>0</v>
      </c>
      <c r="V868" s="38">
        <f t="shared" si="421"/>
        <v>0</v>
      </c>
      <c r="W868" s="38">
        <f t="shared" si="421"/>
        <v>0</v>
      </c>
      <c r="X868" s="38">
        <f t="shared" si="421"/>
        <v>0</v>
      </c>
      <c r="Y868" s="38">
        <f t="shared" si="421"/>
        <v>0</v>
      </c>
    </row>
    <row r="869" spans="2:26">
      <c r="B869" t="str">
        <f>+B839</f>
        <v>Escrituración</v>
      </c>
      <c r="N869" s="38">
        <f t="shared" ref="N869:Y869" si="422">+$D844*G$629*(1+INFLACION)^($C844-$G$4)</f>
        <v>0</v>
      </c>
      <c r="O869" s="38">
        <f t="shared" si="422"/>
        <v>0</v>
      </c>
      <c r="P869" s="38">
        <f t="shared" si="422"/>
        <v>0</v>
      </c>
      <c r="Q869" s="38">
        <f t="shared" si="422"/>
        <v>68019.114475285809</v>
      </c>
      <c r="R869" s="38">
        <f t="shared" si="422"/>
        <v>70130.50812197398</v>
      </c>
      <c r="S869" s="38">
        <f t="shared" si="422"/>
        <v>72178.480682904279</v>
      </c>
      <c r="T869" s="38">
        <f t="shared" si="422"/>
        <v>84067.29171725981</v>
      </c>
      <c r="U869" s="38">
        <f t="shared" si="422"/>
        <v>0</v>
      </c>
      <c r="V869" s="38">
        <f t="shared" si="422"/>
        <v>0</v>
      </c>
      <c r="W869" s="38">
        <f t="shared" si="422"/>
        <v>0</v>
      </c>
      <c r="X869" s="38">
        <f t="shared" si="422"/>
        <v>0</v>
      </c>
      <c r="Y869" s="38">
        <f t="shared" si="422"/>
        <v>0</v>
      </c>
    </row>
    <row r="870" spans="2:26">
      <c r="B870" t="s">
        <v>359</v>
      </c>
      <c r="E870" s="55"/>
      <c r="N870" s="38">
        <f t="shared" ref="N870:Y870" si="423">+$D844*G$630*(1+INFLACION)^($C844-$G$4)</f>
        <v>0</v>
      </c>
      <c r="O870" s="38">
        <f t="shared" si="423"/>
        <v>0</v>
      </c>
      <c r="P870" s="38">
        <f t="shared" si="423"/>
        <v>0</v>
      </c>
      <c r="Q870" s="38">
        <f t="shared" si="423"/>
        <v>44033.709196789685</v>
      </c>
      <c r="R870" s="38">
        <f t="shared" si="423"/>
        <v>45400.567535881957</v>
      </c>
      <c r="S870" s="38">
        <f t="shared" si="423"/>
        <v>46726.368803462072</v>
      </c>
      <c r="T870" s="38">
        <f t="shared" si="423"/>
        <v>54422.859000678727</v>
      </c>
      <c r="U870" s="38">
        <f t="shared" si="423"/>
        <v>0</v>
      </c>
      <c r="V870" s="38">
        <f t="shared" si="423"/>
        <v>0</v>
      </c>
      <c r="W870" s="38">
        <f t="shared" si="423"/>
        <v>0</v>
      </c>
      <c r="X870" s="38">
        <f t="shared" si="423"/>
        <v>0</v>
      </c>
      <c r="Y870" s="38">
        <f t="shared" si="423"/>
        <v>0</v>
      </c>
    </row>
    <row r="871" spans="2:26">
      <c r="E871" s="55"/>
    </row>
    <row r="872" spans="2:26">
      <c r="E872" s="55"/>
    </row>
    <row r="873" spans="2:26">
      <c r="C873" t="s">
        <v>615</v>
      </c>
      <c r="D873" t="s">
        <v>616</v>
      </c>
      <c r="E873" s="55" t="s">
        <v>617</v>
      </c>
    </row>
    <row r="874" spans="2:26">
      <c r="B874" t="s">
        <v>618</v>
      </c>
      <c r="C874">
        <f>+C844+1</f>
        <v>2027</v>
      </c>
      <c r="D874">
        <f>+VLOOKUP(C874,$B$545:$C$567,2,FALSE)</f>
        <v>4</v>
      </c>
      <c r="E874" s="55">
        <f>+HLOOKUP('Proyectos Inmob detall'!C874,Proyecciones!$G$56:$AG$57,2,FALSE)</f>
        <v>1</v>
      </c>
    </row>
    <row r="875" spans="2:26">
      <c r="B875" t="str">
        <f>+B845</f>
        <v>Arquitectura</v>
      </c>
      <c r="E875" s="55"/>
    </row>
    <row r="876" spans="2:26">
      <c r="B876" t="str">
        <f t="shared" ref="B876:B898" si="424">+B846</f>
        <v>Ventas</v>
      </c>
      <c r="E876" s="55"/>
      <c r="O876" s="38">
        <f t="shared" ref="O876:Z876" si="425">+$D874*G$606*(1+INFLACION)^($C874-$G$4)</f>
        <v>0</v>
      </c>
      <c r="P876" s="38">
        <f t="shared" si="425"/>
        <v>122.54757404303359</v>
      </c>
      <c r="Q876" s="38">
        <f t="shared" si="425"/>
        <v>313.52431134926911</v>
      </c>
      <c r="R876" s="38">
        <f t="shared" si="425"/>
        <v>330.41621526381527</v>
      </c>
      <c r="S876" s="38">
        <f t="shared" si="425"/>
        <v>323.25850460710461</v>
      </c>
      <c r="T876" s="38">
        <f t="shared" si="425"/>
        <v>299.60596584075699</v>
      </c>
      <c r="U876" s="38">
        <f t="shared" si="425"/>
        <v>378.65248378312242</v>
      </c>
      <c r="V876" s="38">
        <f t="shared" si="425"/>
        <v>0</v>
      </c>
      <c r="W876" s="38">
        <f t="shared" si="425"/>
        <v>0</v>
      </c>
      <c r="X876" s="38">
        <f t="shared" si="425"/>
        <v>0</v>
      </c>
      <c r="Y876" s="38">
        <f t="shared" si="425"/>
        <v>0</v>
      </c>
      <c r="Z876" s="38">
        <f t="shared" si="425"/>
        <v>0</v>
      </c>
    </row>
    <row r="877" spans="2:26">
      <c r="B877" t="str">
        <f t="shared" si="424"/>
        <v>Caja</v>
      </c>
      <c r="E877" s="55"/>
      <c r="O877" s="38">
        <f t="shared" ref="O877:Z877" si="426">+$D874*G$607*(1+INFLACION)^($C874-$G$4)</f>
        <v>0</v>
      </c>
      <c r="P877" s="38">
        <f t="shared" si="426"/>
        <v>0</v>
      </c>
      <c r="Q877" s="38">
        <f t="shared" si="426"/>
        <v>408.49191347677862</v>
      </c>
      <c r="R877" s="38">
        <f t="shared" si="426"/>
        <v>0</v>
      </c>
      <c r="S877" s="38">
        <f t="shared" si="426"/>
        <v>421.17198491686975</v>
      </c>
      <c r="T877" s="38">
        <f t="shared" si="426"/>
        <v>433.471178115957</v>
      </c>
      <c r="U877" s="38">
        <f t="shared" si="426"/>
        <v>504.86997837749647</v>
      </c>
      <c r="V877" s="38">
        <f t="shared" si="426"/>
        <v>0</v>
      </c>
      <c r="W877" s="38">
        <f t="shared" si="426"/>
        <v>0</v>
      </c>
      <c r="X877" s="38">
        <f t="shared" si="426"/>
        <v>0</v>
      </c>
      <c r="Y877" s="38">
        <f t="shared" si="426"/>
        <v>0</v>
      </c>
      <c r="Z877" s="38">
        <f t="shared" si="426"/>
        <v>0</v>
      </c>
    </row>
    <row r="878" spans="2:26">
      <c r="E878" s="55"/>
    </row>
    <row r="879" spans="2:26">
      <c r="B879" t="str">
        <f t="shared" si="424"/>
        <v>Preconstrucción</v>
      </c>
      <c r="E879" s="55"/>
    </row>
    <row r="880" spans="2:26">
      <c r="B880" t="str">
        <f t="shared" si="424"/>
        <v>Ventas</v>
      </c>
      <c r="E880" s="55"/>
      <c r="O880" s="38">
        <f t="shared" ref="O880:Z880" si="427">$D874*G$610*(1+INFLACION)^($C874-$G$4)</f>
        <v>0</v>
      </c>
      <c r="P880" s="38">
        <f t="shared" si="427"/>
        <v>49.019029617213434</v>
      </c>
      <c r="Q880" s="38">
        <f t="shared" si="427"/>
        <v>125.40972453970763</v>
      </c>
      <c r="R880" s="38">
        <f t="shared" si="427"/>
        <v>132.16648610552608</v>
      </c>
      <c r="S880" s="38">
        <f t="shared" si="427"/>
        <v>129.30340184284179</v>
      </c>
      <c r="T880" s="38">
        <f t="shared" si="427"/>
        <v>119.84238633630281</v>
      </c>
      <c r="U880" s="38">
        <f t="shared" si="427"/>
        <v>151.46099351324889</v>
      </c>
      <c r="V880" s="38">
        <f t="shared" si="427"/>
        <v>0</v>
      </c>
      <c r="W880" s="38">
        <f t="shared" si="427"/>
        <v>0</v>
      </c>
      <c r="X880" s="38">
        <f t="shared" si="427"/>
        <v>0</v>
      </c>
      <c r="Y880" s="38">
        <f t="shared" si="427"/>
        <v>0</v>
      </c>
      <c r="Z880" s="38">
        <f t="shared" si="427"/>
        <v>0</v>
      </c>
    </row>
    <row r="881" spans="2:26">
      <c r="B881" t="str">
        <f t="shared" si="424"/>
        <v>Caja</v>
      </c>
      <c r="E881" s="55"/>
      <c r="O881" s="38">
        <f t="shared" ref="O881:Z881" si="428">+$D874*G$611*(1+INFLACION)^($C874-$G$4)</f>
        <v>0</v>
      </c>
      <c r="P881" s="38">
        <f t="shared" si="428"/>
        <v>0</v>
      </c>
      <c r="Q881" s="38">
        <f t="shared" si="428"/>
        <v>163.39676539071144</v>
      </c>
      <c r="R881" s="38">
        <f t="shared" si="428"/>
        <v>0</v>
      </c>
      <c r="S881" s="38">
        <f t="shared" si="428"/>
        <v>168.46879396674791</v>
      </c>
      <c r="T881" s="38">
        <f t="shared" si="428"/>
        <v>173.38847124638278</v>
      </c>
      <c r="U881" s="38">
        <f t="shared" si="428"/>
        <v>201.94799135099856</v>
      </c>
      <c r="V881" s="38">
        <f t="shared" si="428"/>
        <v>0</v>
      </c>
      <c r="W881" s="38">
        <f t="shared" si="428"/>
        <v>0</v>
      </c>
      <c r="X881" s="38">
        <f t="shared" si="428"/>
        <v>0</v>
      </c>
      <c r="Y881" s="38">
        <f t="shared" si="428"/>
        <v>0</v>
      </c>
      <c r="Z881" s="38">
        <f t="shared" si="428"/>
        <v>0</v>
      </c>
    </row>
    <row r="882" spans="2:26">
      <c r="E882" s="55"/>
    </row>
    <row r="883" spans="2:26">
      <c r="B883" t="str">
        <f t="shared" si="424"/>
        <v>Construccion</v>
      </c>
      <c r="E883" s="55"/>
    </row>
    <row r="884" spans="2:26">
      <c r="B884" t="str">
        <f t="shared" si="424"/>
        <v>Ventas</v>
      </c>
      <c r="E884" s="55"/>
      <c r="O884" s="38">
        <f t="shared" ref="O884:Z884" si="429">+$D874*G$614*(1+INFLACION)^($C874-$G$4)</f>
        <v>0</v>
      </c>
      <c r="P884" s="38">
        <f t="shared" si="429"/>
        <v>13112.590422604593</v>
      </c>
      <c r="Q884" s="38">
        <f t="shared" si="429"/>
        <v>33547.101314371794</v>
      </c>
      <c r="R884" s="38">
        <f t="shared" si="429"/>
        <v>35354.535033228232</v>
      </c>
      <c r="S884" s="38">
        <f t="shared" si="429"/>
        <v>34588.659992960202</v>
      </c>
      <c r="T884" s="38">
        <f t="shared" si="429"/>
        <v>32057.83834496099</v>
      </c>
      <c r="U884" s="38">
        <f t="shared" si="429"/>
        <v>40515.815764794061</v>
      </c>
      <c r="V884" s="38">
        <f t="shared" si="429"/>
        <v>0</v>
      </c>
      <c r="W884" s="38">
        <f t="shared" si="429"/>
        <v>0</v>
      </c>
      <c r="X884" s="38">
        <f t="shared" si="429"/>
        <v>0</v>
      </c>
      <c r="Y884" s="38">
        <f t="shared" si="429"/>
        <v>0</v>
      </c>
      <c r="Z884" s="38">
        <f t="shared" si="429"/>
        <v>0</v>
      </c>
    </row>
    <row r="885" spans="2:26">
      <c r="B885" t="str">
        <f t="shared" si="424"/>
        <v>Utilidad</v>
      </c>
      <c r="E885" s="55"/>
      <c r="O885" s="38">
        <f t="shared" ref="O885:Z885" si="430">+$D874*G$615*(1+INFLACION)^($C874-$G$4)</f>
        <v>0</v>
      </c>
      <c r="P885" s="38">
        <f t="shared" si="430"/>
        <v>857.83301830123503</v>
      </c>
      <c r="Q885" s="38">
        <f t="shared" si="430"/>
        <v>2194.6701794448818</v>
      </c>
      <c r="R885" s="38">
        <f t="shared" si="430"/>
        <v>2312.9135068467058</v>
      </c>
      <c r="S885" s="38">
        <f t="shared" si="430"/>
        <v>2262.809532249732</v>
      </c>
      <c r="T885" s="38">
        <f t="shared" si="430"/>
        <v>2097.2417608852925</v>
      </c>
      <c r="U885" s="38">
        <f t="shared" si="430"/>
        <v>2650.5673864818609</v>
      </c>
      <c r="V885" s="38">
        <f t="shared" si="430"/>
        <v>0</v>
      </c>
      <c r="W885" s="38">
        <f t="shared" si="430"/>
        <v>0</v>
      </c>
      <c r="X885" s="38">
        <f t="shared" si="430"/>
        <v>0</v>
      </c>
      <c r="Y885" s="38">
        <f t="shared" si="430"/>
        <v>0</v>
      </c>
      <c r="Z885" s="38">
        <f t="shared" si="430"/>
        <v>0</v>
      </c>
    </row>
    <row r="886" spans="2:26">
      <c r="B886" t="str">
        <f t="shared" si="424"/>
        <v>Caja</v>
      </c>
      <c r="E886" s="55"/>
      <c r="O886" s="38">
        <f t="shared" ref="O886:Z886" si="431">+$D874*G$616*(1+INFLACION)^($C874-$G$4)</f>
        <v>0</v>
      </c>
      <c r="P886" s="38">
        <f t="shared" si="431"/>
        <v>0</v>
      </c>
      <c r="Q886" s="38">
        <f t="shared" si="431"/>
        <v>0</v>
      </c>
      <c r="R886" s="38">
        <f t="shared" si="431"/>
        <v>2859.4433943374484</v>
      </c>
      <c r="S886" s="38">
        <f t="shared" si="431"/>
        <v>2948.2038944180854</v>
      </c>
      <c r="T886" s="38">
        <f t="shared" si="431"/>
        <v>1820.5789480870205</v>
      </c>
      <c r="U886" s="38">
        <f t="shared" si="431"/>
        <v>4747.8091473671484</v>
      </c>
      <c r="V886" s="38">
        <f t="shared" si="431"/>
        <v>0</v>
      </c>
      <c r="W886" s="38">
        <f t="shared" si="431"/>
        <v>0</v>
      </c>
      <c r="X886" s="38">
        <f t="shared" si="431"/>
        <v>0</v>
      </c>
      <c r="Y886" s="38">
        <f t="shared" si="431"/>
        <v>0</v>
      </c>
      <c r="Z886" s="38">
        <f t="shared" si="431"/>
        <v>0</v>
      </c>
    </row>
    <row r="887" spans="2:26">
      <c r="E887" s="55"/>
    </row>
    <row r="888" spans="2:26">
      <c r="B888" t="str">
        <f t="shared" si="424"/>
        <v>Inmobiliario</v>
      </c>
      <c r="E888" s="55"/>
    </row>
    <row r="889" spans="2:26">
      <c r="B889" t="str">
        <f t="shared" si="424"/>
        <v>Ventas</v>
      </c>
      <c r="E889" s="55"/>
      <c r="O889" s="38">
        <f t="shared" ref="O889:Z889" si="432">+$D874*G$619*(1+INFLACION)^($C874-$G$4)</f>
        <v>0</v>
      </c>
      <c r="P889" s="38">
        <f t="shared" si="432"/>
        <v>7198.0403755182679</v>
      </c>
      <c r="Q889" s="38">
        <f t="shared" si="432"/>
        <v>18391.600103776691</v>
      </c>
      <c r="R889" s="38">
        <f t="shared" si="432"/>
        <v>19122.619054731913</v>
      </c>
      <c r="S889" s="38">
        <f t="shared" si="432"/>
        <v>18484.084733096071</v>
      </c>
      <c r="T889" s="38">
        <f t="shared" si="432"/>
        <v>16972.280511884426</v>
      </c>
      <c r="U889" s="38">
        <f t="shared" si="432"/>
        <v>21261.186757331474</v>
      </c>
      <c r="V889" s="38">
        <f t="shared" si="432"/>
        <v>0</v>
      </c>
      <c r="W889" s="38">
        <f t="shared" si="432"/>
        <v>0</v>
      </c>
      <c r="X889" s="38">
        <f t="shared" si="432"/>
        <v>0</v>
      </c>
      <c r="Y889" s="38">
        <f t="shared" si="432"/>
        <v>0</v>
      </c>
      <c r="Z889" s="38">
        <f t="shared" si="432"/>
        <v>0</v>
      </c>
    </row>
    <row r="890" spans="2:26">
      <c r="B890" t="str">
        <f t="shared" si="424"/>
        <v>Utilidad</v>
      </c>
      <c r="E890" s="55"/>
      <c r="O890" s="38">
        <f t="shared" ref="O890:Z890" si="433">$D874*G$620*(1+INFLACION)^($C874-$G$4)</f>
        <v>0</v>
      </c>
      <c r="P890" s="38">
        <f t="shared" si="433"/>
        <v>1479.532629012135</v>
      </c>
      <c r="Q890" s="38">
        <f t="shared" si="433"/>
        <v>3785.2193505430928</v>
      </c>
      <c r="R890" s="38">
        <f t="shared" si="433"/>
        <v>3989.1574799011833</v>
      </c>
      <c r="S890" s="38">
        <f t="shared" si="433"/>
        <v>3902.7415181954675</v>
      </c>
      <c r="T890" s="38">
        <f t="shared" si="433"/>
        <v>3617.1813744141159</v>
      </c>
      <c r="U890" s="38">
        <f t="shared" si="433"/>
        <v>4571.5201560570104</v>
      </c>
      <c r="V890" s="38">
        <f t="shared" si="433"/>
        <v>0</v>
      </c>
      <c r="W890" s="38">
        <f t="shared" si="433"/>
        <v>0</v>
      </c>
      <c r="X890" s="38">
        <f t="shared" si="433"/>
        <v>0</v>
      </c>
      <c r="Y890" s="38">
        <f t="shared" si="433"/>
        <v>0</v>
      </c>
      <c r="Z890" s="38">
        <f t="shared" si="433"/>
        <v>0</v>
      </c>
    </row>
    <row r="891" spans="2:26">
      <c r="B891" t="str">
        <f t="shared" si="424"/>
        <v>Caja</v>
      </c>
      <c r="E891" s="55"/>
      <c r="O891" s="38">
        <f t="shared" ref="O891:Z891" si="434">+$D874*G$621*(1+INFLACION)^($C874-$G$4)</f>
        <v>0</v>
      </c>
      <c r="P891" s="38">
        <f t="shared" si="434"/>
        <v>0</v>
      </c>
      <c r="Q891" s="38">
        <f t="shared" si="434"/>
        <v>0</v>
      </c>
      <c r="R891" s="38">
        <f t="shared" si="434"/>
        <v>4931.7754300404486</v>
      </c>
      <c r="S891" s="38">
        <f t="shared" si="434"/>
        <v>5084.8635640187813</v>
      </c>
      <c r="T891" s="38">
        <f t="shared" si="434"/>
        <v>3140.0119835926489</v>
      </c>
      <c r="U891" s="38">
        <f t="shared" si="434"/>
        <v>8188.701530471124</v>
      </c>
      <c r="V891" s="38">
        <f t="shared" si="434"/>
        <v>0</v>
      </c>
      <c r="W891" s="38">
        <f t="shared" si="434"/>
        <v>0</v>
      </c>
      <c r="X891" s="38">
        <f t="shared" si="434"/>
        <v>0</v>
      </c>
      <c r="Y891" s="38">
        <f t="shared" si="434"/>
        <v>0</v>
      </c>
      <c r="Z891" s="38">
        <f t="shared" si="434"/>
        <v>0</v>
      </c>
    </row>
    <row r="892" spans="2:26">
      <c r="E892" s="55"/>
    </row>
    <row r="893" spans="2:26">
      <c r="B893" t="str">
        <f t="shared" si="424"/>
        <v>utilidad como inversionista</v>
      </c>
      <c r="E893" s="55"/>
    </row>
    <row r="894" spans="2:26">
      <c r="B894" t="str">
        <f t="shared" si="424"/>
        <v>Ventas</v>
      </c>
      <c r="E894" s="55"/>
      <c r="O894" s="38">
        <f t="shared" ref="O894:Z894" si="435">+$D874*G$624*(1+INFLACION)^($C874-$G$4)*$E874</f>
        <v>0</v>
      </c>
      <c r="P894" s="38">
        <f t="shared" si="435"/>
        <v>739.76631450606692</v>
      </c>
      <c r="Q894" s="38">
        <f t="shared" si="435"/>
        <v>1916.3937145226009</v>
      </c>
      <c r="R894" s="38">
        <f t="shared" si="435"/>
        <v>2279.518559943534</v>
      </c>
      <c r="S894" s="38">
        <f t="shared" si="435"/>
        <v>2454.4245806540284</v>
      </c>
      <c r="T894" s="38">
        <f t="shared" si="435"/>
        <v>2434.1766015532821</v>
      </c>
      <c r="U894" s="38">
        <f t="shared" si="435"/>
        <v>3265.3715400407232</v>
      </c>
      <c r="V894" s="38">
        <f t="shared" si="435"/>
        <v>0</v>
      </c>
      <c r="W894" s="38">
        <f t="shared" si="435"/>
        <v>0</v>
      </c>
      <c r="X894" s="38">
        <f t="shared" si="435"/>
        <v>0</v>
      </c>
      <c r="Y894" s="38">
        <f t="shared" si="435"/>
        <v>0</v>
      </c>
      <c r="Z894" s="38">
        <f t="shared" si="435"/>
        <v>0</v>
      </c>
    </row>
    <row r="895" spans="2:26">
      <c r="B895" t="str">
        <f t="shared" si="424"/>
        <v>Caja</v>
      </c>
      <c r="E895" s="55"/>
      <c r="O895" s="38">
        <f t="shared" ref="O895:Z895" si="436">+$D874*G$625*(1+INFLACION)^($C874-$G$4)*$E874</f>
        <v>0</v>
      </c>
      <c r="P895" s="38">
        <f t="shared" si="436"/>
        <v>0</v>
      </c>
      <c r="Q895" s="38">
        <f t="shared" si="436"/>
        <v>0</v>
      </c>
      <c r="R895" s="38">
        <f t="shared" si="436"/>
        <v>0</v>
      </c>
      <c r="S895" s="38">
        <f t="shared" si="436"/>
        <v>0</v>
      </c>
      <c r="T895" s="38">
        <f t="shared" si="436"/>
        <v>2905.6363222964455</v>
      </c>
      <c r="U895" s="38">
        <f t="shared" si="436"/>
        <v>5830.186268869491</v>
      </c>
      <c r="V895" s="38">
        <f t="shared" si="436"/>
        <v>4353.8287200542982</v>
      </c>
      <c r="W895" s="38">
        <f t="shared" si="436"/>
        <v>0</v>
      </c>
      <c r="X895" s="38">
        <f t="shared" si="436"/>
        <v>0</v>
      </c>
      <c r="Y895" s="38">
        <f t="shared" si="436"/>
        <v>0</v>
      </c>
      <c r="Z895" s="38">
        <f t="shared" si="436"/>
        <v>0</v>
      </c>
    </row>
    <row r="896" spans="2:26">
      <c r="E896" s="55"/>
    </row>
    <row r="897" spans="2:27">
      <c r="B897" t="str">
        <f t="shared" si="424"/>
        <v>Inversiones en proyectos caja</v>
      </c>
      <c r="E897" s="55"/>
      <c r="O897" s="38">
        <f t="shared" ref="O897:Z897" si="437">$D874*G$627*(1+INFLACION)^($C874-$G$4)*$E874</f>
        <v>7663.9866822695349</v>
      </c>
      <c r="P897" s="38">
        <f t="shared" si="437"/>
        <v>2189.7104806484385</v>
      </c>
      <c r="Q897" s="38">
        <f t="shared" si="437"/>
        <v>0</v>
      </c>
      <c r="R897" s="38">
        <f t="shared" si="437"/>
        <v>0</v>
      </c>
      <c r="S897" s="38">
        <f t="shared" si="437"/>
        <v>0</v>
      </c>
      <c r="T897" s="38">
        <f t="shared" si="437"/>
        <v>0</v>
      </c>
      <c r="U897" s="38">
        <f t="shared" si="437"/>
        <v>0</v>
      </c>
      <c r="V897" s="38">
        <f t="shared" si="437"/>
        <v>0</v>
      </c>
      <c r="W897" s="38">
        <f t="shared" si="437"/>
        <v>0</v>
      </c>
      <c r="X897" s="38">
        <f t="shared" si="437"/>
        <v>0</v>
      </c>
      <c r="Y897" s="38">
        <f t="shared" si="437"/>
        <v>0</v>
      </c>
      <c r="Z897" s="38">
        <f t="shared" si="437"/>
        <v>0</v>
      </c>
    </row>
    <row r="898" spans="2:27">
      <c r="B898" t="str">
        <f t="shared" si="424"/>
        <v>DesInversiones en proyectos caja</v>
      </c>
      <c r="E898" s="55"/>
      <c r="O898" s="38">
        <f t="shared" ref="O898:Z898" si="438">+$D874*G$628*(1+INFLACION)^($C874-$G$4)*$E874</f>
        <v>0</v>
      </c>
      <c r="P898" s="38">
        <f t="shared" si="438"/>
        <v>0</v>
      </c>
      <c r="Q898" s="38">
        <f t="shared" si="438"/>
        <v>0</v>
      </c>
      <c r="R898" s="38">
        <f t="shared" si="438"/>
        <v>0</v>
      </c>
      <c r="S898" s="38">
        <f t="shared" si="438"/>
        <v>7663.9866822695349</v>
      </c>
      <c r="T898" s="38">
        <f t="shared" si="438"/>
        <v>2189.7104806484385</v>
      </c>
      <c r="U898" s="38">
        <f t="shared" si="438"/>
        <v>0</v>
      </c>
      <c r="V898" s="38">
        <f t="shared" si="438"/>
        <v>0</v>
      </c>
      <c r="W898" s="38">
        <f t="shared" si="438"/>
        <v>0</v>
      </c>
      <c r="X898" s="38">
        <f t="shared" si="438"/>
        <v>0</v>
      </c>
      <c r="Y898" s="38">
        <f t="shared" si="438"/>
        <v>0</v>
      </c>
      <c r="Z898" s="38">
        <f t="shared" si="438"/>
        <v>0</v>
      </c>
    </row>
    <row r="899" spans="2:27">
      <c r="B899" t="str">
        <f>+B869</f>
        <v>Escrituración</v>
      </c>
      <c r="O899" s="38">
        <f t="shared" ref="O899:Z899" si="439">+$D874*G$629*(1+INFLACION)^($C874-$G$4)</f>
        <v>0</v>
      </c>
      <c r="P899" s="38">
        <f t="shared" si="439"/>
        <v>0</v>
      </c>
      <c r="Q899" s="38">
        <f t="shared" si="439"/>
        <v>0</v>
      </c>
      <c r="R899" s="38">
        <f t="shared" si="439"/>
        <v>70739.879054297257</v>
      </c>
      <c r="S899" s="38">
        <f t="shared" si="439"/>
        <v>72935.728446852954</v>
      </c>
      <c r="T899" s="38">
        <f t="shared" si="439"/>
        <v>75065.61991022047</v>
      </c>
      <c r="U899" s="38">
        <f t="shared" si="439"/>
        <v>87429.983385950225</v>
      </c>
      <c r="V899" s="38">
        <f t="shared" si="439"/>
        <v>0</v>
      </c>
      <c r="W899" s="38">
        <f t="shared" si="439"/>
        <v>0</v>
      </c>
      <c r="X899" s="38">
        <f t="shared" si="439"/>
        <v>0</v>
      </c>
      <c r="Y899" s="38">
        <f t="shared" si="439"/>
        <v>0</v>
      </c>
      <c r="Z899" s="38">
        <f t="shared" si="439"/>
        <v>0</v>
      </c>
    </row>
    <row r="900" spans="2:27">
      <c r="B900" t="s">
        <v>359</v>
      </c>
      <c r="E900" s="55"/>
      <c r="O900" s="38">
        <f t="shared" ref="O900:Z900" si="440">+$D874*G$630*(1+INFLACION)^($C874-$G$4)</f>
        <v>0</v>
      </c>
      <c r="P900" s="38">
        <f t="shared" si="440"/>
        <v>0</v>
      </c>
      <c r="Q900" s="38">
        <f t="shared" si="440"/>
        <v>0</v>
      </c>
      <c r="R900" s="38">
        <f t="shared" si="440"/>
        <v>45795.057564661285</v>
      </c>
      <c r="S900" s="38">
        <f t="shared" si="440"/>
        <v>47216.590237317243</v>
      </c>
      <c r="T900" s="38">
        <f t="shared" si="440"/>
        <v>48595.423555600559</v>
      </c>
      <c r="U900" s="38">
        <f t="shared" si="440"/>
        <v>56599.773360705884</v>
      </c>
      <c r="V900" s="38">
        <f t="shared" si="440"/>
        <v>0</v>
      </c>
      <c r="W900" s="38">
        <f t="shared" si="440"/>
        <v>0</v>
      </c>
      <c r="X900" s="38">
        <f t="shared" si="440"/>
        <v>0</v>
      </c>
      <c r="Y900" s="38">
        <f t="shared" si="440"/>
        <v>0</v>
      </c>
      <c r="Z900" s="38">
        <f t="shared" si="440"/>
        <v>0</v>
      </c>
    </row>
    <row r="901" spans="2:27">
      <c r="E901" s="55"/>
    </row>
    <row r="902" spans="2:27">
      <c r="E902" s="55"/>
    </row>
    <row r="903" spans="2:27">
      <c r="C903" t="s">
        <v>615</v>
      </c>
      <c r="D903" t="s">
        <v>616</v>
      </c>
      <c r="E903" s="55" t="s">
        <v>617</v>
      </c>
    </row>
    <row r="904" spans="2:27">
      <c r="B904" t="s">
        <v>618</v>
      </c>
      <c r="C904">
        <f>+C874+1</f>
        <v>2028</v>
      </c>
      <c r="D904">
        <f>+VLOOKUP(C904,$B$545:$C$567,2,FALSE)</f>
        <v>4</v>
      </c>
      <c r="E904" s="55">
        <f>+HLOOKUP('Proyectos Inmob detall'!C904,Proyecciones!$G$56:$AG$57,2,FALSE)</f>
        <v>1</v>
      </c>
    </row>
    <row r="905" spans="2:27">
      <c r="B905" t="str">
        <f>+B875</f>
        <v>Arquitectura</v>
      </c>
      <c r="E905" s="55"/>
    </row>
    <row r="906" spans="2:27">
      <c r="B906" t="str">
        <f t="shared" ref="B906:B928" si="441">+B876</f>
        <v>Ventas</v>
      </c>
      <c r="E906" s="55"/>
      <c r="P906" s="38">
        <f t="shared" ref="P906:AA906" si="442">+$D904*G$606*(1+INFLACION)^($C904-$G$4)</f>
        <v>0</v>
      </c>
      <c r="Q906" s="38">
        <f t="shared" si="442"/>
        <v>127.44947700475495</v>
      </c>
      <c r="R906" s="38">
        <f t="shared" si="442"/>
        <v>326.06528380323988</v>
      </c>
      <c r="S906" s="38">
        <f t="shared" si="442"/>
        <v>343.6328638743679</v>
      </c>
      <c r="T906" s="38">
        <f t="shared" si="442"/>
        <v>336.18884479138882</v>
      </c>
      <c r="U906" s="38">
        <f t="shared" si="442"/>
        <v>311.59020447438735</v>
      </c>
      <c r="V906" s="38">
        <f t="shared" si="442"/>
        <v>393.79858313444737</v>
      </c>
      <c r="W906" s="38">
        <f t="shared" si="442"/>
        <v>0</v>
      </c>
      <c r="X906" s="38">
        <f t="shared" si="442"/>
        <v>0</v>
      </c>
      <c r="Y906" s="38">
        <f t="shared" si="442"/>
        <v>0</v>
      </c>
      <c r="Z906" s="38">
        <f t="shared" si="442"/>
        <v>0</v>
      </c>
      <c r="AA906" s="38">
        <f t="shared" si="442"/>
        <v>0</v>
      </c>
    </row>
    <row r="907" spans="2:27">
      <c r="B907" t="str">
        <f t="shared" si="441"/>
        <v>Caja</v>
      </c>
      <c r="E907" s="55"/>
      <c r="P907" s="38">
        <f t="shared" ref="P907:AA907" si="443">+$D904*G$607*(1+INFLACION)^($C904-$G$4)</f>
        <v>0</v>
      </c>
      <c r="Q907" s="38">
        <f t="shared" si="443"/>
        <v>0</v>
      </c>
      <c r="R907" s="38">
        <f t="shared" si="443"/>
        <v>424.83159001584983</v>
      </c>
      <c r="S907" s="38">
        <f t="shared" si="443"/>
        <v>0</v>
      </c>
      <c r="T907" s="38">
        <f t="shared" si="443"/>
        <v>438.01886431354461</v>
      </c>
      <c r="U907" s="38">
        <f t="shared" si="443"/>
        <v>450.81002524059534</v>
      </c>
      <c r="V907" s="38">
        <f t="shared" si="443"/>
        <v>525.06477751259638</v>
      </c>
      <c r="W907" s="38">
        <f t="shared" si="443"/>
        <v>0</v>
      </c>
      <c r="X907" s="38">
        <f t="shared" si="443"/>
        <v>0</v>
      </c>
      <c r="Y907" s="38">
        <f t="shared" si="443"/>
        <v>0</v>
      </c>
      <c r="Z907" s="38">
        <f t="shared" si="443"/>
        <v>0</v>
      </c>
      <c r="AA907" s="38">
        <f t="shared" si="443"/>
        <v>0</v>
      </c>
    </row>
    <row r="908" spans="2:27">
      <c r="E908" s="55"/>
    </row>
    <row r="909" spans="2:27">
      <c r="B909" t="str">
        <f t="shared" si="441"/>
        <v>Preconstrucción</v>
      </c>
      <c r="E909" s="55"/>
    </row>
    <row r="910" spans="2:27">
      <c r="B910" t="str">
        <f t="shared" si="441"/>
        <v>Ventas</v>
      </c>
      <c r="E910" s="55"/>
      <c r="P910" s="38">
        <f t="shared" ref="P910:AA910" si="444">$D904*G$610*(1+INFLACION)^($C904-$G$4)</f>
        <v>0</v>
      </c>
      <c r="Q910" s="38">
        <f t="shared" si="444"/>
        <v>50.979790801901977</v>
      </c>
      <c r="R910" s="38">
        <f t="shared" si="444"/>
        <v>130.42611352129595</v>
      </c>
      <c r="S910" s="38">
        <f t="shared" si="444"/>
        <v>137.45314554974712</v>
      </c>
      <c r="T910" s="38">
        <f t="shared" si="444"/>
        <v>134.47553791655548</v>
      </c>
      <c r="U910" s="38">
        <f t="shared" si="444"/>
        <v>124.63608178975493</v>
      </c>
      <c r="V910" s="38">
        <f t="shared" si="444"/>
        <v>157.51943325377889</v>
      </c>
      <c r="W910" s="38">
        <f t="shared" si="444"/>
        <v>0</v>
      </c>
      <c r="X910" s="38">
        <f t="shared" si="444"/>
        <v>0</v>
      </c>
      <c r="Y910" s="38">
        <f t="shared" si="444"/>
        <v>0</v>
      </c>
      <c r="Z910" s="38">
        <f t="shared" si="444"/>
        <v>0</v>
      </c>
      <c r="AA910" s="38">
        <f t="shared" si="444"/>
        <v>0</v>
      </c>
    </row>
    <row r="911" spans="2:27">
      <c r="B911" t="str">
        <f t="shared" si="441"/>
        <v>Caja</v>
      </c>
      <c r="E911" s="55"/>
      <c r="P911" s="38">
        <f t="shared" ref="P911:AA911" si="445">+$D904*G$611*(1+INFLACION)^($C904-$G$4)</f>
        <v>0</v>
      </c>
      <c r="Q911" s="38">
        <f t="shared" si="445"/>
        <v>0</v>
      </c>
      <c r="R911" s="38">
        <f t="shared" si="445"/>
        <v>169.93263600633992</v>
      </c>
      <c r="S911" s="38">
        <f t="shared" si="445"/>
        <v>0</v>
      </c>
      <c r="T911" s="38">
        <f t="shared" si="445"/>
        <v>175.20754572541784</v>
      </c>
      <c r="U911" s="38">
        <f t="shared" si="445"/>
        <v>180.32401009623808</v>
      </c>
      <c r="V911" s="38">
        <f t="shared" si="445"/>
        <v>210.02591100503852</v>
      </c>
      <c r="W911" s="38">
        <f t="shared" si="445"/>
        <v>0</v>
      </c>
      <c r="X911" s="38">
        <f t="shared" si="445"/>
        <v>0</v>
      </c>
      <c r="Y911" s="38">
        <f t="shared" si="445"/>
        <v>0</v>
      </c>
      <c r="Z911" s="38">
        <f t="shared" si="445"/>
        <v>0</v>
      </c>
      <c r="AA911" s="38">
        <f t="shared" si="445"/>
        <v>0</v>
      </c>
    </row>
    <row r="912" spans="2:27">
      <c r="E912" s="55"/>
    </row>
    <row r="913" spans="2:27">
      <c r="B913" t="str">
        <f t="shared" si="441"/>
        <v>Construccion</v>
      </c>
      <c r="E913" s="55"/>
    </row>
    <row r="914" spans="2:27">
      <c r="B914" t="str">
        <f t="shared" si="441"/>
        <v>Ventas</v>
      </c>
      <c r="E914" s="55"/>
      <c r="P914" s="38">
        <f t="shared" ref="P914:AA914" si="446">+$D904*G$614*(1+INFLACION)^($C904-$G$4)</f>
        <v>0</v>
      </c>
      <c r="Q914" s="38">
        <f t="shared" si="446"/>
        <v>13637.094039508778</v>
      </c>
      <c r="R914" s="38">
        <f t="shared" si="446"/>
        <v>34888.985366946668</v>
      </c>
      <c r="S914" s="38">
        <f t="shared" si="446"/>
        <v>36768.716434557362</v>
      </c>
      <c r="T914" s="38">
        <f t="shared" si="446"/>
        <v>35972.206392678614</v>
      </c>
      <c r="U914" s="38">
        <f t="shared" si="446"/>
        <v>33340.151878759432</v>
      </c>
      <c r="V914" s="38">
        <f t="shared" si="446"/>
        <v>42136.448395385829</v>
      </c>
      <c r="W914" s="38">
        <f t="shared" si="446"/>
        <v>0</v>
      </c>
      <c r="X914" s="38">
        <f t="shared" si="446"/>
        <v>0</v>
      </c>
      <c r="Y914" s="38">
        <f t="shared" si="446"/>
        <v>0</v>
      </c>
      <c r="Z914" s="38">
        <f t="shared" si="446"/>
        <v>0</v>
      </c>
      <c r="AA914" s="38">
        <f t="shared" si="446"/>
        <v>0</v>
      </c>
    </row>
    <row r="915" spans="2:27">
      <c r="B915" t="str">
        <f t="shared" si="441"/>
        <v>Utilidad</v>
      </c>
      <c r="E915" s="55"/>
      <c r="P915" s="38">
        <f t="shared" ref="P915:AA915" si="447">+$D904*G$615*(1+INFLACION)^($C904-$G$4)</f>
        <v>0</v>
      </c>
      <c r="Q915" s="38">
        <f t="shared" si="447"/>
        <v>892.14633903328456</v>
      </c>
      <c r="R915" s="38">
        <f t="shared" si="447"/>
        <v>2282.4569866226771</v>
      </c>
      <c r="S915" s="38">
        <f t="shared" si="447"/>
        <v>2405.4300471205743</v>
      </c>
      <c r="T915" s="38">
        <f t="shared" si="447"/>
        <v>2353.3219135397212</v>
      </c>
      <c r="U915" s="38">
        <f t="shared" si="447"/>
        <v>2181.1314313207045</v>
      </c>
      <c r="V915" s="38">
        <f t="shared" si="447"/>
        <v>2756.5900819411358</v>
      </c>
      <c r="W915" s="38">
        <f t="shared" si="447"/>
        <v>0</v>
      </c>
      <c r="X915" s="38">
        <f t="shared" si="447"/>
        <v>0</v>
      </c>
      <c r="Y915" s="38">
        <f t="shared" si="447"/>
        <v>0</v>
      </c>
      <c r="Z915" s="38">
        <f t="shared" si="447"/>
        <v>0</v>
      </c>
      <c r="AA915" s="38">
        <f t="shared" si="447"/>
        <v>0</v>
      </c>
    </row>
    <row r="916" spans="2:27">
      <c r="B916" t="str">
        <f t="shared" si="441"/>
        <v>Caja</v>
      </c>
      <c r="E916" s="55"/>
      <c r="P916" s="38">
        <f t="shared" ref="P916:AA916" si="448">+$D904*G$616*(1+INFLACION)^($C904-$G$4)</f>
        <v>0</v>
      </c>
      <c r="Q916" s="38">
        <f t="shared" si="448"/>
        <v>0</v>
      </c>
      <c r="R916" s="38">
        <f t="shared" si="448"/>
        <v>0</v>
      </c>
      <c r="S916" s="38">
        <f t="shared" si="448"/>
        <v>2973.8211301109468</v>
      </c>
      <c r="T916" s="38">
        <f t="shared" si="448"/>
        <v>3066.1320501948089</v>
      </c>
      <c r="U916" s="38">
        <f t="shared" si="448"/>
        <v>1893.4021060105015</v>
      </c>
      <c r="V916" s="38">
        <f t="shared" si="448"/>
        <v>4937.7215132618348</v>
      </c>
      <c r="W916" s="38">
        <f t="shared" si="448"/>
        <v>0</v>
      </c>
      <c r="X916" s="38">
        <f t="shared" si="448"/>
        <v>0</v>
      </c>
      <c r="Y916" s="38">
        <f t="shared" si="448"/>
        <v>0</v>
      </c>
      <c r="Z916" s="38">
        <f t="shared" si="448"/>
        <v>0</v>
      </c>
      <c r="AA916" s="38">
        <f t="shared" si="448"/>
        <v>0</v>
      </c>
    </row>
    <row r="917" spans="2:27">
      <c r="E917" s="55"/>
    </row>
    <row r="918" spans="2:27">
      <c r="B918" t="str">
        <f t="shared" si="441"/>
        <v>Inmobiliario</v>
      </c>
      <c r="E918" s="55"/>
    </row>
    <row r="919" spans="2:27">
      <c r="B919" t="str">
        <f t="shared" si="441"/>
        <v>Ventas</v>
      </c>
      <c r="E919" s="55"/>
      <c r="P919" s="38">
        <f t="shared" ref="P919:AA919" si="449">+$D904*G$619*(1+INFLACION)^($C904-$G$4)</f>
        <v>0</v>
      </c>
      <c r="Q919" s="38">
        <f t="shared" si="449"/>
        <v>7485.9619905389991</v>
      </c>
      <c r="R919" s="38">
        <f t="shared" si="449"/>
        <v>19127.26410792776</v>
      </c>
      <c r="S919" s="38">
        <f t="shared" si="449"/>
        <v>19887.523816921192</v>
      </c>
      <c r="T919" s="38">
        <f t="shared" si="449"/>
        <v>19223.448122419919</v>
      </c>
      <c r="U919" s="38">
        <f t="shared" si="449"/>
        <v>17651.171732359806</v>
      </c>
      <c r="V919" s="38">
        <f t="shared" si="449"/>
        <v>22111.634227624734</v>
      </c>
      <c r="W919" s="38">
        <f t="shared" si="449"/>
        <v>0</v>
      </c>
      <c r="X919" s="38">
        <f t="shared" si="449"/>
        <v>0</v>
      </c>
      <c r="Y919" s="38">
        <f t="shared" si="449"/>
        <v>0</v>
      </c>
      <c r="Z919" s="38">
        <f t="shared" si="449"/>
        <v>0</v>
      </c>
      <c r="AA919" s="38">
        <f t="shared" si="449"/>
        <v>0</v>
      </c>
    </row>
    <row r="920" spans="2:27">
      <c r="B920" t="str">
        <f t="shared" si="441"/>
        <v>Utilidad</v>
      </c>
      <c r="E920" s="55"/>
      <c r="P920" s="38">
        <f t="shared" ref="P920:AA920" si="450">$D904*G$620*(1+INFLACION)^($C904-$G$4)</f>
        <v>0</v>
      </c>
      <c r="Q920" s="38">
        <f t="shared" si="450"/>
        <v>1538.7139341726204</v>
      </c>
      <c r="R920" s="38">
        <f t="shared" si="450"/>
        <v>3936.6281245648165</v>
      </c>
      <c r="S920" s="38">
        <f t="shared" si="450"/>
        <v>4148.7237790972313</v>
      </c>
      <c r="T920" s="38">
        <f t="shared" si="450"/>
        <v>4058.8511789232866</v>
      </c>
      <c r="U920" s="38">
        <f t="shared" si="450"/>
        <v>3761.8686293906812</v>
      </c>
      <c r="V920" s="38">
        <f t="shared" si="450"/>
        <v>4754.3809622992912</v>
      </c>
      <c r="W920" s="38">
        <f t="shared" si="450"/>
        <v>0</v>
      </c>
      <c r="X920" s="38">
        <f t="shared" si="450"/>
        <v>0</v>
      </c>
      <c r="Y920" s="38">
        <f t="shared" si="450"/>
        <v>0</v>
      </c>
      <c r="Z920" s="38">
        <f t="shared" si="450"/>
        <v>0</v>
      </c>
      <c r="AA920" s="38">
        <f t="shared" si="450"/>
        <v>0</v>
      </c>
    </row>
    <row r="921" spans="2:27">
      <c r="B921" t="str">
        <f t="shared" si="441"/>
        <v>Caja</v>
      </c>
      <c r="E921" s="55"/>
      <c r="P921" s="38">
        <f t="shared" ref="P921:AA921" si="451">+$D904*G$621*(1+INFLACION)^($C904-$G$4)</f>
        <v>0</v>
      </c>
      <c r="Q921" s="38">
        <f t="shared" si="451"/>
        <v>0</v>
      </c>
      <c r="R921" s="38">
        <f t="shared" si="451"/>
        <v>0</v>
      </c>
      <c r="S921" s="38">
        <f t="shared" si="451"/>
        <v>5129.0464472420672</v>
      </c>
      <c r="T921" s="38">
        <f t="shared" si="451"/>
        <v>5288.258106579533</v>
      </c>
      <c r="U921" s="38">
        <f t="shared" si="451"/>
        <v>3265.6124629363553</v>
      </c>
      <c r="V921" s="38">
        <f t="shared" si="451"/>
        <v>8516.2495916899697</v>
      </c>
      <c r="W921" s="38">
        <f t="shared" si="451"/>
        <v>0</v>
      </c>
      <c r="X921" s="38">
        <f t="shared" si="451"/>
        <v>0</v>
      </c>
      <c r="Y921" s="38">
        <f t="shared" si="451"/>
        <v>0</v>
      </c>
      <c r="Z921" s="38">
        <f t="shared" si="451"/>
        <v>0</v>
      </c>
      <c r="AA921" s="38">
        <f t="shared" si="451"/>
        <v>0</v>
      </c>
    </row>
    <row r="922" spans="2:27">
      <c r="E922" s="55"/>
    </row>
    <row r="923" spans="2:27">
      <c r="B923" t="str">
        <f t="shared" si="441"/>
        <v>utilidad como inversionista</v>
      </c>
      <c r="E923" s="55"/>
    </row>
    <row r="924" spans="2:27">
      <c r="B924" t="str">
        <f t="shared" si="441"/>
        <v>Ventas</v>
      </c>
      <c r="E924" s="55"/>
      <c r="P924" s="38">
        <f t="shared" ref="P924:AA924" si="452">+$D904*G$624*(1+INFLACION)^($C904-$G$4)*$E904</f>
        <v>0</v>
      </c>
      <c r="Q924" s="38">
        <f t="shared" si="452"/>
        <v>769.35696708630974</v>
      </c>
      <c r="R924" s="38">
        <f t="shared" si="452"/>
        <v>1993.0494631035051</v>
      </c>
      <c r="S924" s="38">
        <f t="shared" si="452"/>
        <v>2370.6993023412756</v>
      </c>
      <c r="T924" s="38">
        <f t="shared" si="452"/>
        <v>2552.6015638801896</v>
      </c>
      <c r="U924" s="38">
        <f t="shared" si="452"/>
        <v>2531.5436656154138</v>
      </c>
      <c r="V924" s="38">
        <f t="shared" si="452"/>
        <v>3395.9864016423526</v>
      </c>
      <c r="W924" s="38">
        <f t="shared" si="452"/>
        <v>0</v>
      </c>
      <c r="X924" s="38">
        <f t="shared" si="452"/>
        <v>0</v>
      </c>
      <c r="Y924" s="38">
        <f t="shared" si="452"/>
        <v>0</v>
      </c>
      <c r="Z924" s="38">
        <f t="shared" si="452"/>
        <v>0</v>
      </c>
      <c r="AA924" s="38">
        <f t="shared" si="452"/>
        <v>0</v>
      </c>
    </row>
    <row r="925" spans="2:27">
      <c r="B925" t="str">
        <f t="shared" si="441"/>
        <v>Caja</v>
      </c>
      <c r="E925" s="55"/>
      <c r="P925" s="38">
        <f t="shared" ref="P925:AA925" si="453">+$D904*G$625*(1+INFLACION)^($C904-$G$4)*$E904</f>
        <v>0</v>
      </c>
      <c r="Q925" s="38">
        <f t="shared" si="453"/>
        <v>0</v>
      </c>
      <c r="R925" s="38">
        <f t="shared" si="453"/>
        <v>0</v>
      </c>
      <c r="S925" s="38">
        <f t="shared" si="453"/>
        <v>0</v>
      </c>
      <c r="T925" s="38">
        <f t="shared" si="453"/>
        <v>0</v>
      </c>
      <c r="U925" s="38">
        <f t="shared" si="453"/>
        <v>3021.8617751883035</v>
      </c>
      <c r="V925" s="38">
        <f t="shared" si="453"/>
        <v>6063.3937196242714</v>
      </c>
      <c r="W925" s="38">
        <f t="shared" si="453"/>
        <v>4527.9818688564701</v>
      </c>
      <c r="X925" s="38">
        <f t="shared" si="453"/>
        <v>0</v>
      </c>
      <c r="Y925" s="38">
        <f t="shared" si="453"/>
        <v>0</v>
      </c>
      <c r="Z925" s="38">
        <f t="shared" si="453"/>
        <v>0</v>
      </c>
      <c r="AA925" s="38">
        <f t="shared" si="453"/>
        <v>0</v>
      </c>
    </row>
    <row r="926" spans="2:27">
      <c r="E926" s="55"/>
    </row>
    <row r="927" spans="2:27">
      <c r="B927" t="str">
        <f t="shared" si="441"/>
        <v>Inversiones en proyectos caja</v>
      </c>
      <c r="E927" s="55"/>
      <c r="P927" s="38">
        <f t="shared" ref="P927:AA927" si="454">$D904*G$627*(1+INFLACION)^($C904-$G$4)*$E904</f>
        <v>7970.5461495603167</v>
      </c>
      <c r="Q927" s="38">
        <f t="shared" si="454"/>
        <v>2277.2988998743763</v>
      </c>
      <c r="R927" s="38">
        <f t="shared" si="454"/>
        <v>0</v>
      </c>
      <c r="S927" s="38">
        <f t="shared" si="454"/>
        <v>0</v>
      </c>
      <c r="T927" s="38">
        <f t="shared" si="454"/>
        <v>0</v>
      </c>
      <c r="U927" s="38">
        <f t="shared" si="454"/>
        <v>0</v>
      </c>
      <c r="V927" s="38">
        <f t="shared" si="454"/>
        <v>0</v>
      </c>
      <c r="W927" s="38">
        <f t="shared" si="454"/>
        <v>0</v>
      </c>
      <c r="X927" s="38">
        <f t="shared" si="454"/>
        <v>0</v>
      </c>
      <c r="Y927" s="38">
        <f t="shared" si="454"/>
        <v>0</v>
      </c>
      <c r="Z927" s="38">
        <f t="shared" si="454"/>
        <v>0</v>
      </c>
      <c r="AA927" s="38">
        <f t="shared" si="454"/>
        <v>0</v>
      </c>
    </row>
    <row r="928" spans="2:27">
      <c r="B928" t="str">
        <f t="shared" si="441"/>
        <v>DesInversiones en proyectos caja</v>
      </c>
      <c r="E928" s="55"/>
      <c r="P928" s="38">
        <f t="shared" ref="P928:AA928" si="455">+$D904*G$628*(1+INFLACION)^($C904-$G$4)*$E904</f>
        <v>0</v>
      </c>
      <c r="Q928" s="38">
        <f t="shared" si="455"/>
        <v>0</v>
      </c>
      <c r="R928" s="38">
        <f t="shared" si="455"/>
        <v>0</v>
      </c>
      <c r="S928" s="38">
        <f t="shared" si="455"/>
        <v>0</v>
      </c>
      <c r="T928" s="38">
        <f t="shared" si="455"/>
        <v>7970.5461495603167</v>
      </c>
      <c r="U928" s="38">
        <f t="shared" si="455"/>
        <v>2277.2988998743763</v>
      </c>
      <c r="V928" s="38">
        <f t="shared" si="455"/>
        <v>0</v>
      </c>
      <c r="W928" s="38">
        <f t="shared" si="455"/>
        <v>0</v>
      </c>
      <c r="X928" s="38">
        <f t="shared" si="455"/>
        <v>0</v>
      </c>
      <c r="Y928" s="38">
        <f t="shared" si="455"/>
        <v>0</v>
      </c>
      <c r="Z928" s="38">
        <f t="shared" si="455"/>
        <v>0</v>
      </c>
      <c r="AA928" s="38">
        <f t="shared" si="455"/>
        <v>0</v>
      </c>
    </row>
    <row r="929" spans="2:28">
      <c r="B929" t="str">
        <f>+B899</f>
        <v>Escrituración</v>
      </c>
      <c r="P929" s="38">
        <f t="shared" ref="P929:AA929" si="456">+$D904*G$629*(1+INFLACION)^($C904-$G$4)</f>
        <v>0</v>
      </c>
      <c r="Q929" s="38">
        <f t="shared" si="456"/>
        <v>0</v>
      </c>
      <c r="R929" s="38">
        <f t="shared" si="456"/>
        <v>0</v>
      </c>
      <c r="S929" s="38">
        <f t="shared" si="456"/>
        <v>73569.474216469156</v>
      </c>
      <c r="T929" s="38">
        <f t="shared" si="456"/>
        <v>75853.157584727087</v>
      </c>
      <c r="U929" s="38">
        <f t="shared" si="456"/>
        <v>78068.244706629295</v>
      </c>
      <c r="V929" s="38">
        <f t="shared" si="456"/>
        <v>90927.182721388235</v>
      </c>
      <c r="W929" s="38">
        <f t="shared" si="456"/>
        <v>0</v>
      </c>
      <c r="X929" s="38">
        <f t="shared" si="456"/>
        <v>0</v>
      </c>
      <c r="Y929" s="38">
        <f t="shared" si="456"/>
        <v>0</v>
      </c>
      <c r="Z929" s="38">
        <f t="shared" si="456"/>
        <v>0</v>
      </c>
      <c r="AA929" s="38">
        <f t="shared" si="456"/>
        <v>0</v>
      </c>
    </row>
    <row r="930" spans="2:28">
      <c r="B930" t="s">
        <v>359</v>
      </c>
      <c r="E930" s="55"/>
      <c r="P930" s="38">
        <f t="shared" ref="P930:AA930" si="457">+$D904*G$630*(1+INFLACION)^($C904-$G$4)</f>
        <v>0</v>
      </c>
      <c r="Q930" s="38">
        <f t="shared" si="457"/>
        <v>0</v>
      </c>
      <c r="R930" s="38">
        <f t="shared" si="457"/>
        <v>0</v>
      </c>
      <c r="S930" s="38">
        <f t="shared" si="457"/>
        <v>47626.859867247738</v>
      </c>
      <c r="T930" s="38">
        <f t="shared" si="457"/>
        <v>49105.253846809937</v>
      </c>
      <c r="U930" s="38">
        <f t="shared" si="457"/>
        <v>50539.240497824583</v>
      </c>
      <c r="V930" s="38">
        <f t="shared" si="457"/>
        <v>58863.764295134126</v>
      </c>
      <c r="W930" s="38">
        <f t="shared" si="457"/>
        <v>0</v>
      </c>
      <c r="X930" s="38">
        <f t="shared" si="457"/>
        <v>0</v>
      </c>
      <c r="Y930" s="38">
        <f t="shared" si="457"/>
        <v>0</v>
      </c>
      <c r="Z930" s="38">
        <f t="shared" si="457"/>
        <v>0</v>
      </c>
      <c r="AA930" s="38">
        <f t="shared" si="457"/>
        <v>0</v>
      </c>
    </row>
    <row r="931" spans="2:28">
      <c r="E931" s="55"/>
    </row>
    <row r="932" spans="2:28">
      <c r="E932" s="55"/>
    </row>
    <row r="933" spans="2:28">
      <c r="C933" t="s">
        <v>615</v>
      </c>
      <c r="D933" t="s">
        <v>616</v>
      </c>
      <c r="E933" s="55" t="s">
        <v>617</v>
      </c>
    </row>
    <row r="934" spans="2:28">
      <c r="B934" t="s">
        <v>618</v>
      </c>
      <c r="C934">
        <f>+C904+1</f>
        <v>2029</v>
      </c>
      <c r="D934">
        <f>+VLOOKUP(C934,$B$545:$C$567,2,FALSE)</f>
        <v>4</v>
      </c>
      <c r="E934" s="55">
        <f>+HLOOKUP('Proyectos Inmob detall'!C934,Proyecciones!$G$56:$AG$57,2,FALSE)</f>
        <v>1</v>
      </c>
    </row>
    <row r="935" spans="2:28">
      <c r="B935" t="str">
        <f>+B905</f>
        <v>Arquitectura</v>
      </c>
      <c r="E935" s="55"/>
    </row>
    <row r="936" spans="2:28">
      <c r="B936" t="str">
        <f t="shared" ref="B936:B958" si="458">+B906</f>
        <v>Ventas</v>
      </c>
      <c r="E936" s="55"/>
      <c r="Q936" s="38">
        <f t="shared" ref="Q936:AB936" si="459">+$D934*G$606*(1+INFLACION)^($C934-$G$4)</f>
        <v>0</v>
      </c>
      <c r="R936" s="38">
        <f t="shared" si="459"/>
        <v>132.54745608494514</v>
      </c>
      <c r="S936" s="38">
        <f t="shared" si="459"/>
        <v>339.10789515536948</v>
      </c>
      <c r="T936" s="38">
        <f t="shared" si="459"/>
        <v>357.37817842934265</v>
      </c>
      <c r="U936" s="38">
        <f t="shared" si="459"/>
        <v>349.63639858304441</v>
      </c>
      <c r="V936" s="38">
        <f t="shared" si="459"/>
        <v>324.0538126533628</v>
      </c>
      <c r="W936" s="38">
        <f t="shared" si="459"/>
        <v>409.55052645982522</v>
      </c>
      <c r="X936" s="38">
        <f t="shared" si="459"/>
        <v>0</v>
      </c>
      <c r="Y936" s="38">
        <f t="shared" si="459"/>
        <v>0</v>
      </c>
      <c r="Z936" s="38">
        <f t="shared" si="459"/>
        <v>0</v>
      </c>
      <c r="AA936" s="38">
        <f t="shared" si="459"/>
        <v>0</v>
      </c>
      <c r="AB936" s="38">
        <f t="shared" si="459"/>
        <v>0</v>
      </c>
    </row>
    <row r="937" spans="2:28">
      <c r="B937" t="str">
        <f t="shared" si="458"/>
        <v>Caja</v>
      </c>
      <c r="E937" s="55"/>
      <c r="Q937" s="38">
        <f t="shared" ref="Q937:AB937" si="460">+$D934*G$607*(1+INFLACION)^($C934-$G$4)</f>
        <v>0</v>
      </c>
      <c r="R937" s="38">
        <f t="shared" si="460"/>
        <v>0</v>
      </c>
      <c r="S937" s="38">
        <f t="shared" si="460"/>
        <v>441.82485361648384</v>
      </c>
      <c r="T937" s="38">
        <f t="shared" si="460"/>
        <v>0</v>
      </c>
      <c r="U937" s="38">
        <f t="shared" si="460"/>
        <v>455.53961888608637</v>
      </c>
      <c r="V937" s="38">
        <f t="shared" si="460"/>
        <v>468.84242625021915</v>
      </c>
      <c r="W937" s="38">
        <f t="shared" si="460"/>
        <v>546.06736861310026</v>
      </c>
      <c r="X937" s="38">
        <f t="shared" si="460"/>
        <v>0</v>
      </c>
      <c r="Y937" s="38">
        <f t="shared" si="460"/>
        <v>0</v>
      </c>
      <c r="Z937" s="38">
        <f t="shared" si="460"/>
        <v>0</v>
      </c>
      <c r="AA937" s="38">
        <f t="shared" si="460"/>
        <v>0</v>
      </c>
      <c r="AB937" s="38">
        <f t="shared" si="460"/>
        <v>0</v>
      </c>
    </row>
    <row r="938" spans="2:28">
      <c r="E938" s="55"/>
    </row>
    <row r="939" spans="2:28">
      <c r="B939" t="str">
        <f t="shared" si="458"/>
        <v>Preconstrucción</v>
      </c>
      <c r="E939" s="55"/>
    </row>
    <row r="940" spans="2:28">
      <c r="B940" t="str">
        <f t="shared" si="458"/>
        <v>Ventas</v>
      </c>
      <c r="E940" s="55"/>
      <c r="Q940" s="38">
        <f t="shared" ref="Q940:AB940" si="461">$D934*G$610*(1+INFLACION)^($C934-$G$4)</f>
        <v>0</v>
      </c>
      <c r="R940" s="38">
        <f t="shared" si="461"/>
        <v>53.01898243397806</v>
      </c>
      <c r="S940" s="38">
        <f t="shared" si="461"/>
        <v>135.64315806214776</v>
      </c>
      <c r="T940" s="38">
        <f t="shared" si="461"/>
        <v>142.95127137173702</v>
      </c>
      <c r="U940" s="38">
        <f t="shared" si="461"/>
        <v>139.8545594332177</v>
      </c>
      <c r="V940" s="38">
        <f t="shared" si="461"/>
        <v>129.62152506134512</v>
      </c>
      <c r="W940" s="38">
        <f t="shared" si="461"/>
        <v>163.82021058393002</v>
      </c>
      <c r="X940" s="38">
        <f t="shared" si="461"/>
        <v>0</v>
      </c>
      <c r="Y940" s="38">
        <f t="shared" si="461"/>
        <v>0</v>
      </c>
      <c r="Z940" s="38">
        <f t="shared" si="461"/>
        <v>0</v>
      </c>
      <c r="AA940" s="38">
        <f t="shared" si="461"/>
        <v>0</v>
      </c>
      <c r="AB940" s="38">
        <f t="shared" si="461"/>
        <v>0</v>
      </c>
    </row>
    <row r="941" spans="2:28">
      <c r="B941" t="str">
        <f t="shared" si="458"/>
        <v>Caja</v>
      </c>
      <c r="E941" s="55"/>
      <c r="Q941" s="38">
        <f t="shared" ref="Q941:AB941" si="462">+$D934*G$611*(1+INFLACION)^($C934-$G$4)</f>
        <v>0</v>
      </c>
      <c r="R941" s="38">
        <f t="shared" si="462"/>
        <v>0</v>
      </c>
      <c r="S941" s="38">
        <f t="shared" si="462"/>
        <v>176.72994144659353</v>
      </c>
      <c r="T941" s="38">
        <f t="shared" si="462"/>
        <v>0</v>
      </c>
      <c r="U941" s="38">
        <f t="shared" si="462"/>
        <v>182.21584755443456</v>
      </c>
      <c r="V941" s="38">
        <f t="shared" si="462"/>
        <v>187.53697050008762</v>
      </c>
      <c r="W941" s="38">
        <f t="shared" si="462"/>
        <v>218.42694744524007</v>
      </c>
      <c r="X941" s="38">
        <f t="shared" si="462"/>
        <v>0</v>
      </c>
      <c r="Y941" s="38">
        <f t="shared" si="462"/>
        <v>0</v>
      </c>
      <c r="Z941" s="38">
        <f t="shared" si="462"/>
        <v>0</v>
      </c>
      <c r="AA941" s="38">
        <f t="shared" si="462"/>
        <v>0</v>
      </c>
      <c r="AB941" s="38">
        <f t="shared" si="462"/>
        <v>0</v>
      </c>
    </row>
    <row r="942" spans="2:28">
      <c r="E942" s="55"/>
    </row>
    <row r="943" spans="2:28">
      <c r="B943" t="str">
        <f t="shared" si="458"/>
        <v>Construccion</v>
      </c>
      <c r="E943" s="55"/>
    </row>
    <row r="944" spans="2:28">
      <c r="B944" t="str">
        <f t="shared" si="458"/>
        <v>Ventas</v>
      </c>
      <c r="E944" s="55"/>
      <c r="Q944" s="38">
        <f t="shared" ref="Q944:AB944" si="463">+$D934*G$614*(1+INFLACION)^($C934-$G$4)</f>
        <v>0</v>
      </c>
      <c r="R944" s="38">
        <f t="shared" si="463"/>
        <v>14182.577801089128</v>
      </c>
      <c r="S944" s="38">
        <f t="shared" si="463"/>
        <v>36284.544781624536</v>
      </c>
      <c r="T944" s="38">
        <f t="shared" si="463"/>
        <v>38239.465091939652</v>
      </c>
      <c r="U944" s="38">
        <f t="shared" si="463"/>
        <v>37411.094648385755</v>
      </c>
      <c r="V944" s="38">
        <f t="shared" si="463"/>
        <v>34673.757953909808</v>
      </c>
      <c r="W944" s="38">
        <f t="shared" si="463"/>
        <v>43821.906331201259</v>
      </c>
      <c r="X944" s="38">
        <f t="shared" si="463"/>
        <v>0</v>
      </c>
      <c r="Y944" s="38">
        <f t="shared" si="463"/>
        <v>0</v>
      </c>
      <c r="Z944" s="38">
        <f t="shared" si="463"/>
        <v>0</v>
      </c>
      <c r="AA944" s="38">
        <f t="shared" si="463"/>
        <v>0</v>
      </c>
      <c r="AB944" s="38">
        <f t="shared" si="463"/>
        <v>0</v>
      </c>
    </row>
    <row r="945" spans="2:28">
      <c r="B945" t="str">
        <f t="shared" si="458"/>
        <v>Utilidad</v>
      </c>
      <c r="E945" s="55"/>
      <c r="Q945" s="38">
        <f t="shared" ref="Q945:AB945" si="464">+$D934*G$615*(1+INFLACION)^($C934-$G$4)</f>
        <v>0</v>
      </c>
      <c r="R945" s="38">
        <f t="shared" si="464"/>
        <v>927.83219259461589</v>
      </c>
      <c r="S945" s="38">
        <f t="shared" si="464"/>
        <v>2373.755266087584</v>
      </c>
      <c r="T945" s="38">
        <f t="shared" si="464"/>
        <v>2501.647249005397</v>
      </c>
      <c r="U945" s="38">
        <f t="shared" si="464"/>
        <v>2447.45479008131</v>
      </c>
      <c r="V945" s="38">
        <f t="shared" si="464"/>
        <v>2268.3766885735326</v>
      </c>
      <c r="W945" s="38">
        <f t="shared" si="464"/>
        <v>2866.8536852187813</v>
      </c>
      <c r="X945" s="38">
        <f t="shared" si="464"/>
        <v>0</v>
      </c>
      <c r="Y945" s="38">
        <f t="shared" si="464"/>
        <v>0</v>
      </c>
      <c r="Z945" s="38">
        <f t="shared" si="464"/>
        <v>0</v>
      </c>
      <c r="AA945" s="38">
        <f t="shared" si="464"/>
        <v>0</v>
      </c>
      <c r="AB945" s="38">
        <f t="shared" si="464"/>
        <v>0</v>
      </c>
    </row>
    <row r="946" spans="2:28">
      <c r="B946" t="str">
        <f t="shared" si="458"/>
        <v>Caja</v>
      </c>
      <c r="E946" s="55"/>
      <c r="Q946" s="38">
        <f t="shared" ref="Q946:AB946" si="465">+$D934*G$616*(1+INFLACION)^($C934-$G$4)</f>
        <v>0</v>
      </c>
      <c r="R946" s="38">
        <f t="shared" si="465"/>
        <v>0</v>
      </c>
      <c r="S946" s="38">
        <f t="shared" si="465"/>
        <v>0</v>
      </c>
      <c r="T946" s="38">
        <f t="shared" si="465"/>
        <v>3092.7739753153846</v>
      </c>
      <c r="U946" s="38">
        <f t="shared" si="465"/>
        <v>3188.7773322026014</v>
      </c>
      <c r="V946" s="38">
        <f t="shared" si="465"/>
        <v>1969.1381902509215</v>
      </c>
      <c r="W946" s="38">
        <f t="shared" si="465"/>
        <v>5135.2303737923085</v>
      </c>
      <c r="X946" s="38">
        <f t="shared" si="465"/>
        <v>0</v>
      </c>
      <c r="Y946" s="38">
        <f t="shared" si="465"/>
        <v>0</v>
      </c>
      <c r="Z946" s="38">
        <f t="shared" si="465"/>
        <v>0</v>
      </c>
      <c r="AA946" s="38">
        <f t="shared" si="465"/>
        <v>0</v>
      </c>
      <c r="AB946" s="38">
        <f t="shared" si="465"/>
        <v>0</v>
      </c>
    </row>
    <row r="947" spans="2:28">
      <c r="E947" s="55"/>
    </row>
    <row r="948" spans="2:28">
      <c r="B948" t="str">
        <f t="shared" si="458"/>
        <v>Inmobiliario</v>
      </c>
      <c r="E948" s="55"/>
    </row>
    <row r="949" spans="2:28">
      <c r="B949" t="str">
        <f t="shared" si="458"/>
        <v>Ventas</v>
      </c>
      <c r="E949" s="55"/>
      <c r="Q949" s="38">
        <f t="shared" ref="Q949:AB949" si="466">+$D934*G$619*(1+INFLACION)^($C934-$G$4)</f>
        <v>0</v>
      </c>
      <c r="R949" s="38">
        <f t="shared" si="466"/>
        <v>7785.4004701605591</v>
      </c>
      <c r="S949" s="38">
        <f t="shared" si="466"/>
        <v>19892.35467224487</v>
      </c>
      <c r="T949" s="38">
        <f t="shared" si="466"/>
        <v>20683.02476959804</v>
      </c>
      <c r="U949" s="38">
        <f t="shared" si="466"/>
        <v>19992.386047316715</v>
      </c>
      <c r="V949" s="38">
        <f t="shared" si="466"/>
        <v>18357.2186016542</v>
      </c>
      <c r="W949" s="38">
        <f t="shared" si="466"/>
        <v>22996.099596729724</v>
      </c>
      <c r="X949" s="38">
        <f t="shared" si="466"/>
        <v>0</v>
      </c>
      <c r="Y949" s="38">
        <f t="shared" si="466"/>
        <v>0</v>
      </c>
      <c r="Z949" s="38">
        <f t="shared" si="466"/>
        <v>0</v>
      </c>
      <c r="AA949" s="38">
        <f t="shared" si="466"/>
        <v>0</v>
      </c>
      <c r="AB949" s="38">
        <f t="shared" si="466"/>
        <v>0</v>
      </c>
    </row>
    <row r="950" spans="2:28">
      <c r="B950" t="str">
        <f t="shared" si="458"/>
        <v>Utilidad</v>
      </c>
      <c r="E950" s="55"/>
      <c r="Q950" s="38">
        <f t="shared" ref="Q950:AB950" si="467">$D934*G$620*(1+INFLACION)^($C934-$G$4)</f>
        <v>0</v>
      </c>
      <c r="R950" s="38">
        <f t="shared" si="467"/>
        <v>1600.2624915395252</v>
      </c>
      <c r="S950" s="38">
        <f t="shared" si="467"/>
        <v>4094.0932495474094</v>
      </c>
      <c r="T950" s="38">
        <f t="shared" si="467"/>
        <v>4314.6727302611207</v>
      </c>
      <c r="U950" s="38">
        <f t="shared" si="467"/>
        <v>4221.2052260802184</v>
      </c>
      <c r="V950" s="38">
        <f t="shared" si="467"/>
        <v>3912.3433745663083</v>
      </c>
      <c r="W950" s="38">
        <f t="shared" si="467"/>
        <v>4944.5562007912631</v>
      </c>
      <c r="X950" s="38">
        <f t="shared" si="467"/>
        <v>0</v>
      </c>
      <c r="Y950" s="38">
        <f t="shared" si="467"/>
        <v>0</v>
      </c>
      <c r="Z950" s="38">
        <f t="shared" si="467"/>
        <v>0</v>
      </c>
      <c r="AA950" s="38">
        <f t="shared" si="467"/>
        <v>0</v>
      </c>
      <c r="AB950" s="38">
        <f t="shared" si="467"/>
        <v>0</v>
      </c>
    </row>
    <row r="951" spans="2:28">
      <c r="B951" t="str">
        <f t="shared" si="458"/>
        <v>Caja</v>
      </c>
      <c r="E951" s="55"/>
      <c r="Q951" s="38">
        <f t="shared" ref="Q951:AB951" si="468">+$D934*G$621*(1+INFLACION)^($C934-$G$4)</f>
        <v>0</v>
      </c>
      <c r="R951" s="38">
        <f t="shared" si="468"/>
        <v>0</v>
      </c>
      <c r="S951" s="38">
        <f t="shared" si="468"/>
        <v>0</v>
      </c>
      <c r="T951" s="38">
        <f t="shared" si="468"/>
        <v>5334.2083051317495</v>
      </c>
      <c r="U951" s="38">
        <f t="shared" si="468"/>
        <v>5499.7884308427138</v>
      </c>
      <c r="V951" s="38">
        <f t="shared" si="468"/>
        <v>3396.2369614538093</v>
      </c>
      <c r="W951" s="38">
        <f t="shared" si="468"/>
        <v>8856.8995753575691</v>
      </c>
      <c r="X951" s="38">
        <f t="shared" si="468"/>
        <v>0</v>
      </c>
      <c r="Y951" s="38">
        <f t="shared" si="468"/>
        <v>0</v>
      </c>
      <c r="Z951" s="38">
        <f t="shared" si="468"/>
        <v>0</v>
      </c>
      <c r="AA951" s="38">
        <f t="shared" si="468"/>
        <v>0</v>
      </c>
      <c r="AB951" s="38">
        <f t="shared" si="468"/>
        <v>0</v>
      </c>
    </row>
    <row r="952" spans="2:28">
      <c r="E952" s="55"/>
    </row>
    <row r="953" spans="2:28">
      <c r="B953" t="str">
        <f t="shared" si="458"/>
        <v>utilidad como inversionista</v>
      </c>
      <c r="E953" s="55"/>
    </row>
    <row r="954" spans="2:28">
      <c r="B954" t="str">
        <f t="shared" si="458"/>
        <v>Ventas</v>
      </c>
      <c r="E954" s="55"/>
      <c r="Q954" s="38">
        <f t="shared" ref="Q954:AB954" si="469">+$D934*G$624*(1+INFLACION)^($C934-$G$4)*$E934</f>
        <v>0</v>
      </c>
      <c r="R954" s="38">
        <f t="shared" si="469"/>
        <v>800.13124576976213</v>
      </c>
      <c r="S954" s="38">
        <f t="shared" si="469"/>
        <v>2072.7714416276453</v>
      </c>
      <c r="T954" s="38">
        <f t="shared" si="469"/>
        <v>2465.5272744349268</v>
      </c>
      <c r="U954" s="38">
        <f t="shared" si="469"/>
        <v>2654.7056264353973</v>
      </c>
      <c r="V954" s="38">
        <f t="shared" si="469"/>
        <v>2632.8054122400304</v>
      </c>
      <c r="W954" s="38">
        <f t="shared" si="469"/>
        <v>3531.8258577080464</v>
      </c>
      <c r="X954" s="38">
        <f t="shared" si="469"/>
        <v>0</v>
      </c>
      <c r="Y954" s="38">
        <f t="shared" si="469"/>
        <v>0</v>
      </c>
      <c r="Z954" s="38">
        <f t="shared" si="469"/>
        <v>0</v>
      </c>
      <c r="AA954" s="38">
        <f t="shared" si="469"/>
        <v>0</v>
      </c>
      <c r="AB954" s="38">
        <f t="shared" si="469"/>
        <v>0</v>
      </c>
    </row>
    <row r="955" spans="2:28">
      <c r="B955" t="str">
        <f t="shared" si="458"/>
        <v>Caja</v>
      </c>
      <c r="E955" s="55"/>
      <c r="Q955" s="38">
        <f t="shared" ref="Q955:AB955" si="470">+$D934*G$625*(1+INFLACION)^($C934-$G$4)*$E934</f>
        <v>0</v>
      </c>
      <c r="R955" s="38">
        <f t="shared" si="470"/>
        <v>0</v>
      </c>
      <c r="S955" s="38">
        <f t="shared" si="470"/>
        <v>0</v>
      </c>
      <c r="T955" s="38">
        <f t="shared" si="470"/>
        <v>0</v>
      </c>
      <c r="U955" s="38">
        <f t="shared" si="470"/>
        <v>0</v>
      </c>
      <c r="V955" s="38">
        <f t="shared" si="470"/>
        <v>3142.7362461958355</v>
      </c>
      <c r="W955" s="38">
        <f t="shared" si="470"/>
        <v>6305.929468409242</v>
      </c>
      <c r="X955" s="38">
        <f t="shared" si="470"/>
        <v>4709.1011436107292</v>
      </c>
      <c r="Y955" s="38">
        <f t="shared" si="470"/>
        <v>0</v>
      </c>
      <c r="Z955" s="38">
        <f t="shared" si="470"/>
        <v>0</v>
      </c>
      <c r="AA955" s="38">
        <f t="shared" si="470"/>
        <v>0</v>
      </c>
      <c r="AB955" s="38">
        <f t="shared" si="470"/>
        <v>0</v>
      </c>
    </row>
    <row r="956" spans="2:28">
      <c r="E956" s="55"/>
    </row>
    <row r="957" spans="2:28">
      <c r="B957" t="str">
        <f t="shared" si="458"/>
        <v>Inversiones en proyectos caja</v>
      </c>
      <c r="E957" s="55"/>
      <c r="Q957" s="38">
        <f t="shared" ref="Q957:AB957" si="471">$D934*G$627*(1+INFLACION)^($C934-$G$4)*$E934</f>
        <v>8289.3679955427306</v>
      </c>
      <c r="R957" s="38">
        <f t="shared" si="471"/>
        <v>2368.3908558693515</v>
      </c>
      <c r="S957" s="38">
        <f t="shared" si="471"/>
        <v>0</v>
      </c>
      <c r="T957" s="38">
        <f t="shared" si="471"/>
        <v>0</v>
      </c>
      <c r="U957" s="38">
        <f t="shared" si="471"/>
        <v>0</v>
      </c>
      <c r="V957" s="38">
        <f t="shared" si="471"/>
        <v>0</v>
      </c>
      <c r="W957" s="38">
        <f t="shared" si="471"/>
        <v>0</v>
      </c>
      <c r="X957" s="38">
        <f t="shared" si="471"/>
        <v>0</v>
      </c>
      <c r="Y957" s="38">
        <f t="shared" si="471"/>
        <v>0</v>
      </c>
      <c r="Z957" s="38">
        <f t="shared" si="471"/>
        <v>0</v>
      </c>
      <c r="AA957" s="38">
        <f t="shared" si="471"/>
        <v>0</v>
      </c>
      <c r="AB957" s="38">
        <f t="shared" si="471"/>
        <v>0</v>
      </c>
    </row>
    <row r="958" spans="2:28">
      <c r="B958" t="str">
        <f t="shared" si="458"/>
        <v>DesInversiones en proyectos caja</v>
      </c>
      <c r="E958" s="55"/>
      <c r="Q958" s="38">
        <f t="shared" ref="Q958:AB958" si="472">+$D934*G$628*(1+INFLACION)^($C934-$G$4)*$E934</f>
        <v>0</v>
      </c>
      <c r="R958" s="38">
        <f t="shared" si="472"/>
        <v>0</v>
      </c>
      <c r="S958" s="38">
        <f t="shared" si="472"/>
        <v>0</v>
      </c>
      <c r="T958" s="38">
        <f t="shared" si="472"/>
        <v>0</v>
      </c>
      <c r="U958" s="38">
        <f t="shared" si="472"/>
        <v>8289.3679955427306</v>
      </c>
      <c r="V958" s="38">
        <f t="shared" si="472"/>
        <v>2368.3908558693515</v>
      </c>
      <c r="W958" s="38">
        <f t="shared" si="472"/>
        <v>0</v>
      </c>
      <c r="X958" s="38">
        <f t="shared" si="472"/>
        <v>0</v>
      </c>
      <c r="Y958" s="38">
        <f t="shared" si="472"/>
        <v>0</v>
      </c>
      <c r="Z958" s="38">
        <f t="shared" si="472"/>
        <v>0</v>
      </c>
      <c r="AA958" s="38">
        <f t="shared" si="472"/>
        <v>0</v>
      </c>
      <c r="AB958" s="38">
        <f t="shared" si="472"/>
        <v>0</v>
      </c>
    </row>
    <row r="959" spans="2:28">
      <c r="B959" t="str">
        <f>+B929</f>
        <v>Escrituración</v>
      </c>
      <c r="Q959" s="38">
        <f t="shared" ref="Q959:AB959" si="473">+$D934*G$629*(1+INFLACION)^($C934-$G$4)</f>
        <v>0</v>
      </c>
      <c r="R959" s="38">
        <f t="shared" si="473"/>
        <v>0</v>
      </c>
      <c r="S959" s="38">
        <f t="shared" si="473"/>
        <v>0</v>
      </c>
      <c r="T959" s="38">
        <f t="shared" si="473"/>
        <v>76512.25318512792</v>
      </c>
      <c r="U959" s="38">
        <f t="shared" si="473"/>
        <v>78887.283888116159</v>
      </c>
      <c r="V959" s="38">
        <f t="shared" si="473"/>
        <v>81190.974494894472</v>
      </c>
      <c r="W959" s="38">
        <f t="shared" si="473"/>
        <v>94564.270030243773</v>
      </c>
      <c r="X959" s="38">
        <f t="shared" si="473"/>
        <v>0</v>
      </c>
      <c r="Y959" s="38">
        <f t="shared" si="473"/>
        <v>0</v>
      </c>
      <c r="Z959" s="38">
        <f t="shared" si="473"/>
        <v>0</v>
      </c>
      <c r="AA959" s="38">
        <f t="shared" si="473"/>
        <v>0</v>
      </c>
      <c r="AB959" s="38">
        <f t="shared" si="473"/>
        <v>0</v>
      </c>
    </row>
    <row r="960" spans="2:28">
      <c r="B960" t="s">
        <v>359</v>
      </c>
      <c r="E960" s="55"/>
      <c r="Q960" s="38">
        <f t="shared" ref="Q960:AB960" si="474">+$D934*G$630*(1+INFLACION)^($C934-$G$4)</f>
        <v>0</v>
      </c>
      <c r="R960" s="38">
        <f t="shared" si="474"/>
        <v>0</v>
      </c>
      <c r="S960" s="38">
        <f t="shared" si="474"/>
        <v>0</v>
      </c>
      <c r="T960" s="38">
        <f t="shared" si="474"/>
        <v>49531.934261937648</v>
      </c>
      <c r="U960" s="38">
        <f t="shared" si="474"/>
        <v>51069.464000682339</v>
      </c>
      <c r="V960" s="38">
        <f t="shared" si="474"/>
        <v>52560.810117737572</v>
      </c>
      <c r="W960" s="38">
        <f t="shared" si="474"/>
        <v>61218.314866939487</v>
      </c>
      <c r="X960" s="38">
        <f t="shared" si="474"/>
        <v>0</v>
      </c>
      <c r="Y960" s="38">
        <f t="shared" si="474"/>
        <v>0</v>
      </c>
      <c r="Z960" s="38">
        <f t="shared" si="474"/>
        <v>0</v>
      </c>
      <c r="AA960" s="38">
        <f t="shared" si="474"/>
        <v>0</v>
      </c>
      <c r="AB960" s="38">
        <f t="shared" si="474"/>
        <v>0</v>
      </c>
    </row>
    <row r="961" spans="2:29">
      <c r="E961" s="55"/>
    </row>
    <row r="962" spans="2:29">
      <c r="E962" s="55"/>
    </row>
    <row r="963" spans="2:29">
      <c r="C963" t="s">
        <v>615</v>
      </c>
      <c r="D963" t="s">
        <v>616</v>
      </c>
      <c r="E963" s="55" t="s">
        <v>617</v>
      </c>
    </row>
    <row r="964" spans="2:29">
      <c r="B964" t="s">
        <v>618</v>
      </c>
      <c r="C964">
        <f>+C934+1</f>
        <v>2030</v>
      </c>
      <c r="D964">
        <f>+VLOOKUP(C964,$B$545:$C$567,2,FALSE)</f>
        <v>1</v>
      </c>
      <c r="E964" s="55">
        <f>+HLOOKUP('Proyectos Inmob detall'!C964,Proyecciones!$G$56:$AG$57,2,FALSE)</f>
        <v>1</v>
      </c>
    </row>
    <row r="965" spans="2:29">
      <c r="B965" t="str">
        <f>+B935</f>
        <v>Arquitectura</v>
      </c>
      <c r="E965" s="55"/>
    </row>
    <row r="966" spans="2:29">
      <c r="B966" t="str">
        <f t="shared" ref="B966:B988" si="475">+B936</f>
        <v>Ventas</v>
      </c>
      <c r="E966" s="55"/>
      <c r="R966" s="38">
        <f t="shared" ref="R966:AC966" si="476">+$D964*G$606*(1+INFLACION)^($C964-$G$4)</f>
        <v>0</v>
      </c>
      <c r="S966" s="38">
        <f t="shared" si="476"/>
        <v>34.462338582085735</v>
      </c>
      <c r="T966" s="38">
        <f t="shared" si="476"/>
        <v>88.168052740396064</v>
      </c>
      <c r="U966" s="38">
        <f t="shared" si="476"/>
        <v>92.91832639162908</v>
      </c>
      <c r="V966" s="38">
        <f t="shared" si="476"/>
        <v>90.90546363159153</v>
      </c>
      <c r="W966" s="38">
        <f t="shared" si="476"/>
        <v>84.253991289874321</v>
      </c>
      <c r="X966" s="38">
        <f t="shared" si="476"/>
        <v>106.48313687955455</v>
      </c>
      <c r="Y966" s="38">
        <f t="shared" si="476"/>
        <v>0</v>
      </c>
      <c r="Z966" s="38">
        <f t="shared" si="476"/>
        <v>0</v>
      </c>
      <c r="AA966" s="38">
        <f t="shared" si="476"/>
        <v>0</v>
      </c>
      <c r="AB966" s="38">
        <f t="shared" si="476"/>
        <v>0</v>
      </c>
      <c r="AC966" s="38">
        <f t="shared" si="476"/>
        <v>0</v>
      </c>
    </row>
    <row r="967" spans="2:29">
      <c r="B967" t="str">
        <f t="shared" si="475"/>
        <v>Caja</v>
      </c>
      <c r="E967" s="55"/>
      <c r="R967" s="38">
        <f t="shared" ref="R967:AC967" si="477">+$D964*G$607*(1+INFLACION)^($C964-$G$4)</f>
        <v>0</v>
      </c>
      <c r="S967" s="38">
        <f t="shared" si="477"/>
        <v>0</v>
      </c>
      <c r="T967" s="38">
        <f t="shared" si="477"/>
        <v>114.87446194028578</v>
      </c>
      <c r="U967" s="38">
        <f t="shared" si="477"/>
        <v>0</v>
      </c>
      <c r="V967" s="38">
        <f t="shared" si="477"/>
        <v>118.44030091038245</v>
      </c>
      <c r="W967" s="38">
        <f t="shared" si="477"/>
        <v>121.89903082505697</v>
      </c>
      <c r="X967" s="38">
        <f t="shared" si="477"/>
        <v>141.97751583940604</v>
      </c>
      <c r="Y967" s="38">
        <f t="shared" si="477"/>
        <v>0</v>
      </c>
      <c r="Z967" s="38">
        <f t="shared" si="477"/>
        <v>0</v>
      </c>
      <c r="AA967" s="38">
        <f t="shared" si="477"/>
        <v>0</v>
      </c>
      <c r="AB967" s="38">
        <f t="shared" si="477"/>
        <v>0</v>
      </c>
      <c r="AC967" s="38">
        <f t="shared" si="477"/>
        <v>0</v>
      </c>
    </row>
    <row r="968" spans="2:29">
      <c r="E968" s="55"/>
    </row>
    <row r="969" spans="2:29">
      <c r="B969" t="str">
        <f t="shared" si="475"/>
        <v>Preconstrucción</v>
      </c>
      <c r="E969" s="55"/>
    </row>
    <row r="970" spans="2:29">
      <c r="B970" t="str">
        <f t="shared" si="475"/>
        <v>Ventas</v>
      </c>
      <c r="E970" s="55"/>
      <c r="R970" s="38">
        <f t="shared" ref="R970:AC970" si="478">$D964*G$610*(1+INFLACION)^($C964-$G$4)</f>
        <v>0</v>
      </c>
      <c r="S970" s="38">
        <f t="shared" si="478"/>
        <v>13.784935432834294</v>
      </c>
      <c r="T970" s="38">
        <f t="shared" si="478"/>
        <v>35.267221096158416</v>
      </c>
      <c r="U970" s="38">
        <f t="shared" si="478"/>
        <v>37.167330556651621</v>
      </c>
      <c r="V970" s="38">
        <f t="shared" si="478"/>
        <v>36.362185452636595</v>
      </c>
      <c r="W970" s="38">
        <f t="shared" si="478"/>
        <v>33.701596515949731</v>
      </c>
      <c r="X970" s="38">
        <f t="shared" si="478"/>
        <v>42.593254751821803</v>
      </c>
      <c r="Y970" s="38">
        <f t="shared" si="478"/>
        <v>0</v>
      </c>
      <c r="Z970" s="38">
        <f t="shared" si="478"/>
        <v>0</v>
      </c>
      <c r="AA970" s="38">
        <f t="shared" si="478"/>
        <v>0</v>
      </c>
      <c r="AB970" s="38">
        <f t="shared" si="478"/>
        <v>0</v>
      </c>
      <c r="AC970" s="38">
        <f t="shared" si="478"/>
        <v>0</v>
      </c>
    </row>
    <row r="971" spans="2:29">
      <c r="B971" t="str">
        <f t="shared" si="475"/>
        <v>Caja</v>
      </c>
      <c r="E971" s="55"/>
      <c r="R971" s="38">
        <f t="shared" ref="R971:AC971" si="479">+$D964*G$611*(1+INFLACION)^($C964-$G$4)</f>
        <v>0</v>
      </c>
      <c r="S971" s="38">
        <f t="shared" si="479"/>
        <v>0</v>
      </c>
      <c r="T971" s="38">
        <f t="shared" si="479"/>
        <v>45.949784776114313</v>
      </c>
      <c r="U971" s="38">
        <f t="shared" si="479"/>
        <v>0</v>
      </c>
      <c r="V971" s="38">
        <f t="shared" si="479"/>
        <v>47.376120364152982</v>
      </c>
      <c r="W971" s="38">
        <f t="shared" si="479"/>
        <v>48.759612330022776</v>
      </c>
      <c r="X971" s="38">
        <f t="shared" si="479"/>
        <v>56.791006335762411</v>
      </c>
      <c r="Y971" s="38">
        <f t="shared" si="479"/>
        <v>0</v>
      </c>
      <c r="Z971" s="38">
        <f t="shared" si="479"/>
        <v>0</v>
      </c>
      <c r="AA971" s="38">
        <f t="shared" si="479"/>
        <v>0</v>
      </c>
      <c r="AB971" s="38">
        <f t="shared" si="479"/>
        <v>0</v>
      </c>
      <c r="AC971" s="38">
        <f t="shared" si="479"/>
        <v>0</v>
      </c>
    </row>
    <row r="972" spans="2:29">
      <c r="E972" s="55"/>
    </row>
    <row r="973" spans="2:29">
      <c r="B973" t="str">
        <f t="shared" si="475"/>
        <v>Construccion</v>
      </c>
      <c r="E973" s="55"/>
    </row>
    <row r="974" spans="2:29">
      <c r="B974" t="str">
        <f t="shared" si="475"/>
        <v>Ventas</v>
      </c>
      <c r="E974" s="55"/>
      <c r="R974" s="38">
        <f t="shared" ref="R974:AC974" si="480">+$D964*G$614*(1+INFLACION)^($C964-$G$4)</f>
        <v>0</v>
      </c>
      <c r="S974" s="38">
        <f t="shared" si="480"/>
        <v>3687.4702282831731</v>
      </c>
      <c r="T974" s="38">
        <f t="shared" si="480"/>
        <v>9433.9816432223779</v>
      </c>
      <c r="U974" s="38">
        <f t="shared" si="480"/>
        <v>9942.2609239043104</v>
      </c>
      <c r="V974" s="38">
        <f t="shared" si="480"/>
        <v>9726.8846085802961</v>
      </c>
      <c r="W974" s="38">
        <f t="shared" si="480"/>
        <v>9015.17706801655</v>
      </c>
      <c r="X974" s="38">
        <f t="shared" si="480"/>
        <v>11393.695646112326</v>
      </c>
      <c r="Y974" s="38">
        <f t="shared" si="480"/>
        <v>0</v>
      </c>
      <c r="Z974" s="38">
        <f t="shared" si="480"/>
        <v>0</v>
      </c>
      <c r="AA974" s="38">
        <f t="shared" si="480"/>
        <v>0</v>
      </c>
      <c r="AB974" s="38">
        <f t="shared" si="480"/>
        <v>0</v>
      </c>
      <c r="AC974" s="38">
        <f t="shared" si="480"/>
        <v>0</v>
      </c>
    </row>
    <row r="975" spans="2:29">
      <c r="B975" t="str">
        <f t="shared" si="475"/>
        <v>Utilidad</v>
      </c>
      <c r="E975" s="55"/>
      <c r="R975" s="38">
        <f t="shared" ref="R975:AC975" si="481">+$D964*G$615*(1+INFLACION)^($C964-$G$4)</f>
        <v>0</v>
      </c>
      <c r="S975" s="38">
        <f t="shared" si="481"/>
        <v>241.2363700746001</v>
      </c>
      <c r="T975" s="38">
        <f t="shared" si="481"/>
        <v>617.17636918277185</v>
      </c>
      <c r="U975" s="38">
        <f t="shared" si="481"/>
        <v>650.42828474140322</v>
      </c>
      <c r="V975" s="38">
        <f t="shared" si="481"/>
        <v>636.33824542114064</v>
      </c>
      <c r="W975" s="38">
        <f t="shared" si="481"/>
        <v>589.77793902911844</v>
      </c>
      <c r="X975" s="38">
        <f t="shared" si="481"/>
        <v>745.38195815688312</v>
      </c>
      <c r="Y975" s="38">
        <f t="shared" si="481"/>
        <v>0</v>
      </c>
      <c r="Z975" s="38">
        <f t="shared" si="481"/>
        <v>0</v>
      </c>
      <c r="AA975" s="38">
        <f t="shared" si="481"/>
        <v>0</v>
      </c>
      <c r="AB975" s="38">
        <f t="shared" si="481"/>
        <v>0</v>
      </c>
      <c r="AC975" s="38">
        <f t="shared" si="481"/>
        <v>0</v>
      </c>
    </row>
    <row r="976" spans="2:29">
      <c r="B976" t="str">
        <f t="shared" si="475"/>
        <v>Caja</v>
      </c>
      <c r="E976" s="55"/>
      <c r="R976" s="38">
        <f t="shared" ref="R976:AC976" si="482">+$D964*G$616*(1+INFLACION)^($C964-$G$4)</f>
        <v>0</v>
      </c>
      <c r="S976" s="38">
        <f t="shared" si="482"/>
        <v>0</v>
      </c>
      <c r="T976" s="38">
        <f t="shared" si="482"/>
        <v>0</v>
      </c>
      <c r="U976" s="38">
        <f t="shared" si="482"/>
        <v>804.12123358199995</v>
      </c>
      <c r="V976" s="38">
        <f t="shared" si="482"/>
        <v>829.08210637267632</v>
      </c>
      <c r="W976" s="38">
        <f t="shared" si="482"/>
        <v>511.97592946523957</v>
      </c>
      <c r="X976" s="38">
        <f t="shared" si="482"/>
        <v>1335.1598971860001</v>
      </c>
      <c r="Y976" s="38">
        <f t="shared" si="482"/>
        <v>0</v>
      </c>
      <c r="Z976" s="38">
        <f t="shared" si="482"/>
        <v>0</v>
      </c>
      <c r="AA976" s="38">
        <f t="shared" si="482"/>
        <v>0</v>
      </c>
      <c r="AB976" s="38">
        <f t="shared" si="482"/>
        <v>0</v>
      </c>
      <c r="AC976" s="38">
        <f t="shared" si="482"/>
        <v>0</v>
      </c>
    </row>
    <row r="977" spans="2:29">
      <c r="E977" s="55"/>
    </row>
    <row r="978" spans="2:29">
      <c r="B978" t="str">
        <f t="shared" si="475"/>
        <v>Inmobiliario</v>
      </c>
      <c r="E978" s="55"/>
    </row>
    <row r="979" spans="2:29">
      <c r="B979" t="str">
        <f t="shared" si="475"/>
        <v>Ventas</v>
      </c>
      <c r="E979" s="55"/>
      <c r="R979" s="38">
        <f t="shared" ref="R979:AC979" si="483">+$D964*G$619*(1+INFLACION)^($C964-$G$4)</f>
        <v>0</v>
      </c>
      <c r="S979" s="38">
        <f t="shared" si="483"/>
        <v>2024.2041222417454</v>
      </c>
      <c r="T979" s="38">
        <f t="shared" si="483"/>
        <v>5172.0122147836664</v>
      </c>
      <c r="U979" s="38">
        <f t="shared" si="483"/>
        <v>5377.5864400954897</v>
      </c>
      <c r="V979" s="38">
        <f t="shared" si="483"/>
        <v>5198.0203723023451</v>
      </c>
      <c r="W979" s="38">
        <f t="shared" si="483"/>
        <v>4772.8768364300913</v>
      </c>
      <c r="X979" s="38">
        <f t="shared" si="483"/>
        <v>5978.9858951497281</v>
      </c>
      <c r="Y979" s="38">
        <f t="shared" si="483"/>
        <v>0</v>
      </c>
      <c r="Z979" s="38">
        <f t="shared" si="483"/>
        <v>0</v>
      </c>
      <c r="AA979" s="38">
        <f t="shared" si="483"/>
        <v>0</v>
      </c>
      <c r="AB979" s="38">
        <f t="shared" si="483"/>
        <v>0</v>
      </c>
      <c r="AC979" s="38">
        <f t="shared" si="483"/>
        <v>0</v>
      </c>
    </row>
    <row r="980" spans="2:29">
      <c r="B980" t="str">
        <f t="shared" si="475"/>
        <v>Utilidad</v>
      </c>
      <c r="E980" s="55"/>
      <c r="R980" s="38">
        <f t="shared" ref="R980:AC980" si="484">$D964*G$620*(1+INFLACION)^($C964-$G$4)</f>
        <v>0</v>
      </c>
      <c r="S980" s="38">
        <f t="shared" si="484"/>
        <v>416.06824780027654</v>
      </c>
      <c r="T980" s="38">
        <f t="shared" si="484"/>
        <v>1064.4642448823263</v>
      </c>
      <c r="U980" s="38">
        <f t="shared" si="484"/>
        <v>1121.8149098678912</v>
      </c>
      <c r="V980" s="38">
        <f t="shared" si="484"/>
        <v>1097.5133587808566</v>
      </c>
      <c r="W980" s="38">
        <f t="shared" si="484"/>
        <v>1017.20927738724</v>
      </c>
      <c r="X980" s="38">
        <f t="shared" si="484"/>
        <v>1285.5846122057283</v>
      </c>
      <c r="Y980" s="38">
        <f t="shared" si="484"/>
        <v>0</v>
      </c>
      <c r="Z980" s="38">
        <f t="shared" si="484"/>
        <v>0</v>
      </c>
      <c r="AA980" s="38">
        <f t="shared" si="484"/>
        <v>0</v>
      </c>
      <c r="AB980" s="38">
        <f t="shared" si="484"/>
        <v>0</v>
      </c>
      <c r="AC980" s="38">
        <f t="shared" si="484"/>
        <v>0</v>
      </c>
    </row>
    <row r="981" spans="2:29">
      <c r="B981" t="str">
        <f t="shared" si="475"/>
        <v>Caja</v>
      </c>
      <c r="E981" s="55"/>
      <c r="R981" s="38">
        <f t="shared" ref="R981:AC981" si="485">+$D964*G$621*(1+INFLACION)^($C964-$G$4)</f>
        <v>0</v>
      </c>
      <c r="S981" s="38">
        <f t="shared" si="485"/>
        <v>0</v>
      </c>
      <c r="T981" s="38">
        <f t="shared" si="485"/>
        <v>0</v>
      </c>
      <c r="U981" s="38">
        <f t="shared" si="485"/>
        <v>1386.8941593342549</v>
      </c>
      <c r="V981" s="38">
        <f t="shared" si="485"/>
        <v>1429.9449920191055</v>
      </c>
      <c r="W981" s="38">
        <f t="shared" si="485"/>
        <v>883.02160997799035</v>
      </c>
      <c r="X981" s="38">
        <f t="shared" si="485"/>
        <v>2302.7938895929678</v>
      </c>
      <c r="Y981" s="38">
        <f t="shared" si="485"/>
        <v>0</v>
      </c>
      <c r="Z981" s="38">
        <f t="shared" si="485"/>
        <v>0</v>
      </c>
      <c r="AA981" s="38">
        <f t="shared" si="485"/>
        <v>0</v>
      </c>
      <c r="AB981" s="38">
        <f t="shared" si="485"/>
        <v>0</v>
      </c>
      <c r="AC981" s="38">
        <f t="shared" si="485"/>
        <v>0</v>
      </c>
    </row>
    <row r="982" spans="2:29">
      <c r="E982" s="55"/>
    </row>
    <row r="983" spans="2:29">
      <c r="B983" t="str">
        <f t="shared" si="475"/>
        <v>utilidad como inversionista</v>
      </c>
      <c r="E983" s="55"/>
    </row>
    <row r="984" spans="2:29">
      <c r="B984" t="str">
        <f t="shared" si="475"/>
        <v>Ventas</v>
      </c>
      <c r="E984" s="55"/>
      <c r="R984" s="38">
        <f t="shared" ref="R984:AC984" si="486">+$D964*G$624*(1+INFLACION)^($C964-$G$4)*$E964</f>
        <v>0</v>
      </c>
      <c r="S984" s="38">
        <f t="shared" si="486"/>
        <v>208.03412390013813</v>
      </c>
      <c r="T984" s="38">
        <f t="shared" si="486"/>
        <v>538.92057482318774</v>
      </c>
      <c r="U984" s="38">
        <f t="shared" si="486"/>
        <v>641.03709135308088</v>
      </c>
      <c r="V984" s="38">
        <f t="shared" si="486"/>
        <v>690.22346287320318</v>
      </c>
      <c r="W984" s="38">
        <f t="shared" si="486"/>
        <v>684.52940718240779</v>
      </c>
      <c r="X984" s="38">
        <f t="shared" si="486"/>
        <v>918.27472300409204</v>
      </c>
      <c r="Y984" s="38">
        <f t="shared" si="486"/>
        <v>0</v>
      </c>
      <c r="Z984" s="38">
        <f t="shared" si="486"/>
        <v>0</v>
      </c>
      <c r="AA984" s="38">
        <f t="shared" si="486"/>
        <v>0</v>
      </c>
      <c r="AB984" s="38">
        <f t="shared" si="486"/>
        <v>0</v>
      </c>
      <c r="AC984" s="38">
        <f t="shared" si="486"/>
        <v>0</v>
      </c>
    </row>
    <row r="985" spans="2:29">
      <c r="B985" t="str">
        <f t="shared" si="475"/>
        <v>Caja</v>
      </c>
      <c r="E985" s="55"/>
      <c r="R985" s="38">
        <f t="shared" ref="R985:AC985" si="487">+$D964*G$625*(1+INFLACION)^($C964-$G$4)*$E964</f>
        <v>0</v>
      </c>
      <c r="S985" s="38">
        <f t="shared" si="487"/>
        <v>0</v>
      </c>
      <c r="T985" s="38">
        <f t="shared" si="487"/>
        <v>0</v>
      </c>
      <c r="U985" s="38">
        <f t="shared" si="487"/>
        <v>0</v>
      </c>
      <c r="V985" s="38">
        <f t="shared" si="487"/>
        <v>0</v>
      </c>
      <c r="W985" s="38">
        <f t="shared" si="487"/>
        <v>817.11142401091718</v>
      </c>
      <c r="X985" s="38">
        <f t="shared" si="487"/>
        <v>1639.541661786403</v>
      </c>
      <c r="Y985" s="38">
        <f t="shared" si="487"/>
        <v>1224.3662973387895</v>
      </c>
      <c r="Z985" s="38">
        <f t="shared" si="487"/>
        <v>0</v>
      </c>
      <c r="AA985" s="38">
        <f t="shared" si="487"/>
        <v>0</v>
      </c>
      <c r="AB985" s="38">
        <f t="shared" si="487"/>
        <v>0</v>
      </c>
      <c r="AC985" s="38">
        <f t="shared" si="487"/>
        <v>0</v>
      </c>
    </row>
    <row r="986" spans="2:29">
      <c r="E986" s="55"/>
    </row>
    <row r="987" spans="2:29">
      <c r="B987" t="str">
        <f t="shared" si="475"/>
        <v>Inversiones en proyectos caja</v>
      </c>
      <c r="E987" s="55"/>
      <c r="R987" s="38">
        <f t="shared" ref="R987:AC987" si="488">$D964*G$627*(1+INFLACION)^($C964-$G$4)*$E964</f>
        <v>2155.2356788411093</v>
      </c>
      <c r="S987" s="38">
        <f t="shared" si="488"/>
        <v>615.78162252603136</v>
      </c>
      <c r="T987" s="38">
        <f t="shared" si="488"/>
        <v>0</v>
      </c>
      <c r="U987" s="38">
        <f t="shared" si="488"/>
        <v>0</v>
      </c>
      <c r="V987" s="38">
        <f t="shared" si="488"/>
        <v>0</v>
      </c>
      <c r="W987" s="38">
        <f t="shared" si="488"/>
        <v>0</v>
      </c>
      <c r="X987" s="38">
        <f t="shared" si="488"/>
        <v>0</v>
      </c>
      <c r="Y987" s="38">
        <f t="shared" si="488"/>
        <v>0</v>
      </c>
      <c r="Z987" s="38">
        <f t="shared" si="488"/>
        <v>0</v>
      </c>
      <c r="AA987" s="38">
        <f t="shared" si="488"/>
        <v>0</v>
      </c>
      <c r="AB987" s="38">
        <f t="shared" si="488"/>
        <v>0</v>
      </c>
      <c r="AC987" s="38">
        <f t="shared" si="488"/>
        <v>0</v>
      </c>
    </row>
    <row r="988" spans="2:29">
      <c r="B988" t="str">
        <f t="shared" si="475"/>
        <v>DesInversiones en proyectos caja</v>
      </c>
      <c r="E988" s="55"/>
      <c r="R988" s="38">
        <f t="shared" ref="R988:AC988" si="489">+$D964*G$628*(1+INFLACION)^($C964-$G$4)*$E964</f>
        <v>0</v>
      </c>
      <c r="S988" s="38">
        <f t="shared" si="489"/>
        <v>0</v>
      </c>
      <c r="T988" s="38">
        <f t="shared" si="489"/>
        <v>0</v>
      </c>
      <c r="U988" s="38">
        <f t="shared" si="489"/>
        <v>0</v>
      </c>
      <c r="V988" s="38">
        <f t="shared" si="489"/>
        <v>2155.2356788411093</v>
      </c>
      <c r="W988" s="38">
        <f t="shared" si="489"/>
        <v>615.78162252603136</v>
      </c>
      <c r="X988" s="38">
        <f t="shared" si="489"/>
        <v>0</v>
      </c>
      <c r="Y988" s="38">
        <f t="shared" si="489"/>
        <v>0</v>
      </c>
      <c r="Z988" s="38">
        <f t="shared" si="489"/>
        <v>0</v>
      </c>
      <c r="AA988" s="38">
        <f t="shared" si="489"/>
        <v>0</v>
      </c>
      <c r="AB988" s="38">
        <f t="shared" si="489"/>
        <v>0</v>
      </c>
      <c r="AC988" s="38">
        <f t="shared" si="489"/>
        <v>0</v>
      </c>
    </row>
    <row r="989" spans="2:29">
      <c r="B989" t="str">
        <f>+B959</f>
        <v>Escrituración</v>
      </c>
      <c r="R989" s="38">
        <f t="shared" ref="R989:AC989" si="490">+$D964*G$629*(1+INFLACION)^($C964-$G$4)</f>
        <v>0</v>
      </c>
      <c r="S989" s="38">
        <f t="shared" si="490"/>
        <v>0</v>
      </c>
      <c r="T989" s="38">
        <f t="shared" si="490"/>
        <v>0</v>
      </c>
      <c r="U989" s="38">
        <f t="shared" si="490"/>
        <v>19893.185828133257</v>
      </c>
      <c r="V989" s="38">
        <f t="shared" si="490"/>
        <v>20510.693810910201</v>
      </c>
      <c r="W989" s="38">
        <f t="shared" si="490"/>
        <v>21109.65336867256</v>
      </c>
      <c r="X989" s="38">
        <f t="shared" si="490"/>
        <v>24586.71020786338</v>
      </c>
      <c r="Y989" s="38">
        <f t="shared" si="490"/>
        <v>0</v>
      </c>
      <c r="Z989" s="38">
        <f t="shared" si="490"/>
        <v>0</v>
      </c>
      <c r="AA989" s="38">
        <f t="shared" si="490"/>
        <v>0</v>
      </c>
      <c r="AB989" s="38">
        <f t="shared" si="490"/>
        <v>0</v>
      </c>
      <c r="AC989" s="38">
        <f t="shared" si="490"/>
        <v>0</v>
      </c>
    </row>
    <row r="990" spans="2:29">
      <c r="B990" t="s">
        <v>359</v>
      </c>
      <c r="E990" s="55"/>
      <c r="R990" s="38">
        <f t="shared" ref="R990:AC990" si="491">+$D964*G$630*(1+INFLACION)^($C964-$G$4)</f>
        <v>0</v>
      </c>
      <c r="S990" s="38">
        <f t="shared" si="491"/>
        <v>0</v>
      </c>
      <c r="T990" s="38">
        <f t="shared" si="491"/>
        <v>0</v>
      </c>
      <c r="U990" s="38">
        <f t="shared" si="491"/>
        <v>12878.302908103788</v>
      </c>
      <c r="V990" s="38">
        <f t="shared" si="491"/>
        <v>13278.060640177408</v>
      </c>
      <c r="W990" s="38">
        <f t="shared" si="491"/>
        <v>13665.810630611768</v>
      </c>
      <c r="X990" s="38">
        <f t="shared" si="491"/>
        <v>15916.761865404265</v>
      </c>
      <c r="Y990" s="38">
        <f t="shared" si="491"/>
        <v>0</v>
      </c>
      <c r="Z990" s="38">
        <f t="shared" si="491"/>
        <v>0</v>
      </c>
      <c r="AA990" s="38">
        <f t="shared" si="491"/>
        <v>0</v>
      </c>
      <c r="AB990" s="38">
        <f t="shared" si="491"/>
        <v>0</v>
      </c>
      <c r="AC990" s="38">
        <f t="shared" si="491"/>
        <v>0</v>
      </c>
    </row>
    <row r="991" spans="2:29">
      <c r="E991" s="55"/>
    </row>
    <row r="992" spans="2:29">
      <c r="E992" s="55"/>
    </row>
    <row r="993" spans="2:30">
      <c r="C993" t="s">
        <v>615</v>
      </c>
      <c r="D993" t="s">
        <v>616</v>
      </c>
      <c r="E993" s="55" t="s">
        <v>617</v>
      </c>
    </row>
    <row r="994" spans="2:30">
      <c r="B994" t="s">
        <v>618</v>
      </c>
      <c r="C994">
        <f>+C964+1</f>
        <v>2031</v>
      </c>
      <c r="D994">
        <f>+VLOOKUP(C994,$B$545:$C$567,2,FALSE)</f>
        <v>4</v>
      </c>
      <c r="E994" s="55">
        <f>+HLOOKUP('Proyectos Inmob detall'!C994,Proyecciones!$G$56:$AG$57,2,FALSE)</f>
        <v>1</v>
      </c>
    </row>
    <row r="995" spans="2:30">
      <c r="B995" t="str">
        <f>+B965</f>
        <v>Arquitectura</v>
      </c>
      <c r="E995" s="55"/>
    </row>
    <row r="996" spans="2:30">
      <c r="B996" t="str">
        <f t="shared" ref="B996:B1018" si="492">+B966</f>
        <v>Ventas</v>
      </c>
      <c r="E996" s="55"/>
      <c r="S996" s="38">
        <f t="shared" ref="S996:AD996" si="493">+$D994*G$606*(1+INFLACION)^($C994-$G$4)</f>
        <v>0</v>
      </c>
      <c r="T996" s="38">
        <f t="shared" si="493"/>
        <v>143.3633285014767</v>
      </c>
      <c r="U996" s="38">
        <f t="shared" si="493"/>
        <v>366.7790994000477</v>
      </c>
      <c r="V996" s="38">
        <f t="shared" si="493"/>
        <v>386.54023778917707</v>
      </c>
      <c r="W996" s="38">
        <f t="shared" si="493"/>
        <v>378.16672870742087</v>
      </c>
      <c r="X996" s="38">
        <f t="shared" si="493"/>
        <v>350.4966037658773</v>
      </c>
      <c r="Y996" s="38">
        <f t="shared" si="493"/>
        <v>442.96984941894704</v>
      </c>
      <c r="Z996" s="38">
        <f t="shared" si="493"/>
        <v>0</v>
      </c>
      <c r="AA996" s="38">
        <f t="shared" si="493"/>
        <v>0</v>
      </c>
      <c r="AB996" s="38">
        <f t="shared" si="493"/>
        <v>0</v>
      </c>
      <c r="AC996" s="38">
        <f t="shared" si="493"/>
        <v>0</v>
      </c>
      <c r="AD996" s="38">
        <f t="shared" si="493"/>
        <v>0</v>
      </c>
    </row>
    <row r="997" spans="2:30">
      <c r="B997" t="str">
        <f t="shared" si="492"/>
        <v>Caja</v>
      </c>
      <c r="E997" s="55"/>
      <c r="S997" s="38">
        <f t="shared" ref="S997:AD997" si="494">+$D994*G$607*(1+INFLACION)^($C994-$G$4)</f>
        <v>0</v>
      </c>
      <c r="T997" s="38">
        <f t="shared" si="494"/>
        <v>0</v>
      </c>
      <c r="U997" s="38">
        <f t="shared" si="494"/>
        <v>477.87776167158898</v>
      </c>
      <c r="V997" s="38">
        <f t="shared" si="494"/>
        <v>0</v>
      </c>
      <c r="W997" s="38">
        <f t="shared" si="494"/>
        <v>492.7116517871911</v>
      </c>
      <c r="X997" s="38">
        <f t="shared" si="494"/>
        <v>507.09996823223707</v>
      </c>
      <c r="Y997" s="38">
        <f t="shared" si="494"/>
        <v>590.62646589192923</v>
      </c>
      <c r="Z997" s="38">
        <f t="shared" si="494"/>
        <v>0</v>
      </c>
      <c r="AA997" s="38">
        <f t="shared" si="494"/>
        <v>0</v>
      </c>
      <c r="AB997" s="38">
        <f t="shared" si="494"/>
        <v>0</v>
      </c>
      <c r="AC997" s="38">
        <f t="shared" si="494"/>
        <v>0</v>
      </c>
      <c r="AD997" s="38">
        <f t="shared" si="494"/>
        <v>0</v>
      </c>
    </row>
    <row r="998" spans="2:30">
      <c r="E998" s="55"/>
    </row>
    <row r="999" spans="2:30">
      <c r="B999" t="str">
        <f t="shared" si="492"/>
        <v>Preconstrucción</v>
      </c>
      <c r="E999" s="55"/>
    </row>
    <row r="1000" spans="2:30">
      <c r="B1000" t="str">
        <f t="shared" si="492"/>
        <v>Ventas</v>
      </c>
      <c r="E1000" s="55"/>
      <c r="S1000" s="38">
        <f t="shared" ref="S1000:AD1000" si="495">$D994*G$610*(1+INFLACION)^($C994-$G$4)</f>
        <v>0</v>
      </c>
      <c r="T1000" s="38">
        <f t="shared" si="495"/>
        <v>57.345331400590673</v>
      </c>
      <c r="U1000" s="38">
        <f t="shared" si="495"/>
        <v>146.71163976001904</v>
      </c>
      <c r="V1000" s="38">
        <f t="shared" si="495"/>
        <v>154.61609511567076</v>
      </c>
      <c r="W1000" s="38">
        <f t="shared" si="495"/>
        <v>151.26669148296827</v>
      </c>
      <c r="X1000" s="38">
        <f t="shared" si="495"/>
        <v>140.19864150635092</v>
      </c>
      <c r="Y1000" s="38">
        <f t="shared" si="495"/>
        <v>177.18793976757874</v>
      </c>
      <c r="Z1000" s="38">
        <f t="shared" si="495"/>
        <v>0</v>
      </c>
      <c r="AA1000" s="38">
        <f t="shared" si="495"/>
        <v>0</v>
      </c>
      <c r="AB1000" s="38">
        <f t="shared" si="495"/>
        <v>0</v>
      </c>
      <c r="AC1000" s="38">
        <f t="shared" si="495"/>
        <v>0</v>
      </c>
      <c r="AD1000" s="38">
        <f t="shared" si="495"/>
        <v>0</v>
      </c>
    </row>
    <row r="1001" spans="2:30">
      <c r="B1001" t="str">
        <f t="shared" si="492"/>
        <v>Caja</v>
      </c>
      <c r="E1001" s="55"/>
      <c r="S1001" s="38">
        <f t="shared" ref="S1001:AD1001" si="496">+$D994*G$611*(1+INFLACION)^($C994-$G$4)</f>
        <v>0</v>
      </c>
      <c r="T1001" s="38">
        <f t="shared" si="496"/>
        <v>0</v>
      </c>
      <c r="U1001" s="38">
        <f t="shared" si="496"/>
        <v>191.15110466863558</v>
      </c>
      <c r="V1001" s="38">
        <f t="shared" si="496"/>
        <v>0</v>
      </c>
      <c r="W1001" s="38">
        <f t="shared" si="496"/>
        <v>197.08466071487646</v>
      </c>
      <c r="X1001" s="38">
        <f t="shared" si="496"/>
        <v>202.83998729289479</v>
      </c>
      <c r="Y1001" s="38">
        <f t="shared" si="496"/>
        <v>236.25058635677169</v>
      </c>
      <c r="Z1001" s="38">
        <f t="shared" si="496"/>
        <v>0</v>
      </c>
      <c r="AA1001" s="38">
        <f t="shared" si="496"/>
        <v>0</v>
      </c>
      <c r="AB1001" s="38">
        <f t="shared" si="496"/>
        <v>0</v>
      </c>
      <c r="AC1001" s="38">
        <f t="shared" si="496"/>
        <v>0</v>
      </c>
      <c r="AD1001" s="38">
        <f t="shared" si="496"/>
        <v>0</v>
      </c>
    </row>
    <row r="1002" spans="2:30">
      <c r="E1002" s="55"/>
    </row>
    <row r="1003" spans="2:30">
      <c r="B1003" t="str">
        <f t="shared" si="492"/>
        <v>Construccion</v>
      </c>
      <c r="E1003" s="55"/>
    </row>
    <row r="1004" spans="2:30">
      <c r="B1004" t="str">
        <f t="shared" si="492"/>
        <v>Ventas</v>
      </c>
      <c r="E1004" s="55"/>
      <c r="S1004" s="38">
        <f t="shared" ref="S1004:AD1004" si="497">+$D994*G$614*(1+INFLACION)^($C994-$G$4)</f>
        <v>0</v>
      </c>
      <c r="T1004" s="38">
        <f t="shared" si="497"/>
        <v>15339.876149658005</v>
      </c>
      <c r="U1004" s="38">
        <f t="shared" si="497"/>
        <v>39245.363635805101</v>
      </c>
      <c r="V1004" s="38">
        <f t="shared" si="497"/>
        <v>41359.805443441939</v>
      </c>
      <c r="W1004" s="38">
        <f t="shared" si="497"/>
        <v>40463.83997169404</v>
      </c>
      <c r="X1004" s="38">
        <f t="shared" si="497"/>
        <v>37503.136602948856</v>
      </c>
      <c r="Y1004" s="38">
        <f t="shared" si="497"/>
        <v>47397.773887827287</v>
      </c>
      <c r="Z1004" s="38">
        <f t="shared" si="497"/>
        <v>0</v>
      </c>
      <c r="AA1004" s="38">
        <f t="shared" si="497"/>
        <v>0</v>
      </c>
      <c r="AB1004" s="38">
        <f t="shared" si="497"/>
        <v>0</v>
      </c>
      <c r="AC1004" s="38">
        <f t="shared" si="497"/>
        <v>0</v>
      </c>
      <c r="AD1004" s="38">
        <f t="shared" si="497"/>
        <v>0</v>
      </c>
    </row>
    <row r="1005" spans="2:30">
      <c r="B1005" t="str">
        <f t="shared" si="492"/>
        <v>Utilidad</v>
      </c>
      <c r="E1005" s="55"/>
      <c r="S1005" s="38">
        <f t="shared" ref="S1005:AD1005" si="498">+$D994*G$615*(1+INFLACION)^($C994-$G$4)</f>
        <v>0</v>
      </c>
      <c r="T1005" s="38">
        <f t="shared" si="498"/>
        <v>1003.5432995103367</v>
      </c>
      <c r="U1005" s="38">
        <f t="shared" si="498"/>
        <v>2567.4536958003314</v>
      </c>
      <c r="V1005" s="38">
        <f t="shared" si="498"/>
        <v>2705.7816645242378</v>
      </c>
      <c r="W1005" s="38">
        <f t="shared" si="498"/>
        <v>2647.1671009519455</v>
      </c>
      <c r="X1005" s="38">
        <f t="shared" si="498"/>
        <v>2453.4762263611333</v>
      </c>
      <c r="Y1005" s="38">
        <f t="shared" si="498"/>
        <v>3100.7889459326343</v>
      </c>
      <c r="Z1005" s="38">
        <f t="shared" si="498"/>
        <v>0</v>
      </c>
      <c r="AA1005" s="38">
        <f t="shared" si="498"/>
        <v>0</v>
      </c>
      <c r="AB1005" s="38">
        <f t="shared" si="498"/>
        <v>0</v>
      </c>
      <c r="AC1005" s="38">
        <f t="shared" si="498"/>
        <v>0</v>
      </c>
      <c r="AD1005" s="38">
        <f t="shared" si="498"/>
        <v>0</v>
      </c>
    </row>
    <row r="1006" spans="2:30">
      <c r="B1006" t="str">
        <f t="shared" si="492"/>
        <v>Caja</v>
      </c>
      <c r="E1006" s="55"/>
      <c r="S1006" s="38">
        <f t="shared" ref="S1006:AD1006" si="499">+$D994*G$616*(1+INFLACION)^($C994-$G$4)</f>
        <v>0</v>
      </c>
      <c r="T1006" s="38">
        <f t="shared" si="499"/>
        <v>0</v>
      </c>
      <c r="U1006" s="38">
        <f t="shared" si="499"/>
        <v>0</v>
      </c>
      <c r="V1006" s="38">
        <f t="shared" si="499"/>
        <v>3345.1443317011203</v>
      </c>
      <c r="W1006" s="38">
        <f t="shared" si="499"/>
        <v>3448.9815625103342</v>
      </c>
      <c r="X1006" s="38">
        <f t="shared" si="499"/>
        <v>2129.8198665753971</v>
      </c>
      <c r="Y1006" s="38">
        <f t="shared" si="499"/>
        <v>5554.2651722937617</v>
      </c>
      <c r="Z1006" s="38">
        <f t="shared" si="499"/>
        <v>0</v>
      </c>
      <c r="AA1006" s="38">
        <f t="shared" si="499"/>
        <v>0</v>
      </c>
      <c r="AB1006" s="38">
        <f t="shared" si="499"/>
        <v>0</v>
      </c>
      <c r="AC1006" s="38">
        <f t="shared" si="499"/>
        <v>0</v>
      </c>
      <c r="AD1006" s="38">
        <f t="shared" si="499"/>
        <v>0</v>
      </c>
    </row>
    <row r="1007" spans="2:30">
      <c r="E1007" s="55"/>
    </row>
    <row r="1008" spans="2:30">
      <c r="B1008" t="str">
        <f t="shared" si="492"/>
        <v>Inmobiliario</v>
      </c>
      <c r="E1008" s="55"/>
    </row>
    <row r="1009" spans="2:30">
      <c r="B1009" t="str">
        <f t="shared" si="492"/>
        <v>Ventas</v>
      </c>
      <c r="E1009" s="55"/>
      <c r="S1009" s="38">
        <f t="shared" ref="S1009:AD1009" si="500">+$D994*G$619*(1+INFLACION)^($C994-$G$4)</f>
        <v>0</v>
      </c>
      <c r="T1009" s="38">
        <f t="shared" si="500"/>
        <v>8420.6891485256619</v>
      </c>
      <c r="U1009" s="38">
        <f t="shared" si="500"/>
        <v>21515.570813500057</v>
      </c>
      <c r="V1009" s="38">
        <f t="shared" si="500"/>
        <v>22370.759590797243</v>
      </c>
      <c r="W1009" s="38">
        <f t="shared" si="500"/>
        <v>21623.764748777761</v>
      </c>
      <c r="X1009" s="38">
        <f t="shared" si="500"/>
        <v>19855.167639549185</v>
      </c>
      <c r="Y1009" s="38">
        <f t="shared" si="500"/>
        <v>24872.581323822873</v>
      </c>
      <c r="Z1009" s="38">
        <f t="shared" si="500"/>
        <v>0</v>
      </c>
      <c r="AA1009" s="38">
        <f t="shared" si="500"/>
        <v>0</v>
      </c>
      <c r="AB1009" s="38">
        <f t="shared" si="500"/>
        <v>0</v>
      </c>
      <c r="AC1009" s="38">
        <f t="shared" si="500"/>
        <v>0</v>
      </c>
      <c r="AD1009" s="38">
        <f t="shared" si="500"/>
        <v>0</v>
      </c>
    </row>
    <row r="1010" spans="2:30">
      <c r="B1010" t="str">
        <f t="shared" si="492"/>
        <v>Utilidad</v>
      </c>
      <c r="E1010" s="55"/>
      <c r="S1010" s="38">
        <f t="shared" ref="S1010:AD1010" si="501">$D994*G$620*(1+INFLACION)^($C994-$G$4)</f>
        <v>0</v>
      </c>
      <c r="T1010" s="38">
        <f t="shared" si="501"/>
        <v>1730.8439108491507</v>
      </c>
      <c r="U1010" s="38">
        <f t="shared" si="501"/>
        <v>4428.1712587104785</v>
      </c>
      <c r="V1010" s="38">
        <f t="shared" si="501"/>
        <v>4666.7500250504281</v>
      </c>
      <c r="W1010" s="38">
        <f t="shared" si="501"/>
        <v>4565.6555725283652</v>
      </c>
      <c r="X1010" s="38">
        <f t="shared" si="501"/>
        <v>4231.5905939309196</v>
      </c>
      <c r="Y1010" s="38">
        <f t="shared" si="501"/>
        <v>5348.0319867758308</v>
      </c>
      <c r="Z1010" s="38">
        <f t="shared" si="501"/>
        <v>0</v>
      </c>
      <c r="AA1010" s="38">
        <f t="shared" si="501"/>
        <v>0</v>
      </c>
      <c r="AB1010" s="38">
        <f t="shared" si="501"/>
        <v>0</v>
      </c>
      <c r="AC1010" s="38">
        <f t="shared" si="501"/>
        <v>0</v>
      </c>
      <c r="AD1010" s="38">
        <f t="shared" si="501"/>
        <v>0</v>
      </c>
    </row>
    <row r="1011" spans="2:30">
      <c r="B1011" t="str">
        <f t="shared" si="492"/>
        <v>Caja</v>
      </c>
      <c r="E1011" s="55"/>
      <c r="S1011" s="38">
        <f t="shared" ref="S1011:AD1011" si="502">+$D994*G$621*(1+INFLACION)^($C994-$G$4)</f>
        <v>0</v>
      </c>
      <c r="T1011" s="38">
        <f t="shared" si="502"/>
        <v>0</v>
      </c>
      <c r="U1011" s="38">
        <f t="shared" si="502"/>
        <v>0</v>
      </c>
      <c r="V1011" s="38">
        <f t="shared" si="502"/>
        <v>5769.4797028305011</v>
      </c>
      <c r="W1011" s="38">
        <f t="shared" si="502"/>
        <v>5948.5711667994801</v>
      </c>
      <c r="X1011" s="38">
        <f t="shared" si="502"/>
        <v>3673.3698975084408</v>
      </c>
      <c r="Y1011" s="38">
        <f t="shared" si="502"/>
        <v>9579.6225807067476</v>
      </c>
      <c r="Z1011" s="38">
        <f t="shared" si="502"/>
        <v>0</v>
      </c>
      <c r="AA1011" s="38">
        <f t="shared" si="502"/>
        <v>0</v>
      </c>
      <c r="AB1011" s="38">
        <f t="shared" si="502"/>
        <v>0</v>
      </c>
      <c r="AC1011" s="38">
        <f t="shared" si="502"/>
        <v>0</v>
      </c>
      <c r="AD1011" s="38">
        <f t="shared" si="502"/>
        <v>0</v>
      </c>
    </row>
    <row r="1012" spans="2:30">
      <c r="E1012" s="55"/>
    </row>
    <row r="1013" spans="2:30">
      <c r="B1013" t="str">
        <f t="shared" si="492"/>
        <v>utilidad como inversionista</v>
      </c>
      <c r="E1013" s="55"/>
    </row>
    <row r="1014" spans="2:30">
      <c r="B1014" t="str">
        <f t="shared" si="492"/>
        <v>Ventas</v>
      </c>
      <c r="E1014" s="55"/>
      <c r="S1014" s="38">
        <f t="shared" ref="S1014:AD1014" si="503">+$D994*G$624*(1+INFLACION)^($C994-$G$4)*$E994</f>
        <v>0</v>
      </c>
      <c r="T1014" s="38">
        <f t="shared" si="503"/>
        <v>865.42195542457478</v>
      </c>
      <c r="U1014" s="38">
        <f t="shared" si="503"/>
        <v>2241.9095912644616</v>
      </c>
      <c r="V1014" s="38">
        <f t="shared" si="503"/>
        <v>2666.7143000288174</v>
      </c>
      <c r="W1014" s="38">
        <f t="shared" si="503"/>
        <v>2871.3296055525261</v>
      </c>
      <c r="X1014" s="38">
        <f t="shared" si="503"/>
        <v>2847.6423338788172</v>
      </c>
      <c r="Y1014" s="38">
        <f t="shared" si="503"/>
        <v>3820.0228476970237</v>
      </c>
      <c r="Z1014" s="38">
        <f t="shared" si="503"/>
        <v>0</v>
      </c>
      <c r="AA1014" s="38">
        <f t="shared" si="503"/>
        <v>0</v>
      </c>
      <c r="AB1014" s="38">
        <f t="shared" si="503"/>
        <v>0</v>
      </c>
      <c r="AC1014" s="38">
        <f t="shared" si="503"/>
        <v>0</v>
      </c>
      <c r="AD1014" s="38">
        <f t="shared" si="503"/>
        <v>0</v>
      </c>
    </row>
    <row r="1015" spans="2:30">
      <c r="B1015" t="str">
        <f t="shared" si="492"/>
        <v>Caja</v>
      </c>
      <c r="E1015" s="55"/>
      <c r="S1015" s="38">
        <f t="shared" ref="S1015:AD1015" si="504">+$D994*G$625*(1+INFLACION)^($C994-$G$4)*$E994</f>
        <v>0</v>
      </c>
      <c r="T1015" s="38">
        <f t="shared" si="504"/>
        <v>0</v>
      </c>
      <c r="U1015" s="38">
        <f t="shared" si="504"/>
        <v>0</v>
      </c>
      <c r="V1015" s="38">
        <f t="shared" si="504"/>
        <v>0</v>
      </c>
      <c r="W1015" s="38">
        <f t="shared" si="504"/>
        <v>0</v>
      </c>
      <c r="X1015" s="38">
        <f t="shared" si="504"/>
        <v>3399.1835238854164</v>
      </c>
      <c r="Y1015" s="38">
        <f t="shared" si="504"/>
        <v>6820.4933130314375</v>
      </c>
      <c r="Z1015" s="38">
        <f t="shared" si="504"/>
        <v>5093.3637969293659</v>
      </c>
      <c r="AA1015" s="38">
        <f t="shared" si="504"/>
        <v>0</v>
      </c>
      <c r="AB1015" s="38">
        <f t="shared" si="504"/>
        <v>0</v>
      </c>
      <c r="AC1015" s="38">
        <f t="shared" si="504"/>
        <v>0</v>
      </c>
      <c r="AD1015" s="38">
        <f t="shared" si="504"/>
        <v>0</v>
      </c>
    </row>
    <row r="1016" spans="2:30">
      <c r="E1016" s="55"/>
    </row>
    <row r="1017" spans="2:30">
      <c r="B1017" t="str">
        <f t="shared" si="492"/>
        <v>Inversiones en proyectos caja</v>
      </c>
      <c r="E1017" s="55"/>
      <c r="S1017" s="38">
        <f t="shared" ref="S1017:AD1017" si="505">$D994*G$627*(1+INFLACION)^($C994-$G$4)*$E994</f>
        <v>8965.7804239790185</v>
      </c>
      <c r="T1017" s="38">
        <f t="shared" si="505"/>
        <v>2561.651549708291</v>
      </c>
      <c r="U1017" s="38">
        <f t="shared" si="505"/>
        <v>0</v>
      </c>
      <c r="V1017" s="38">
        <f t="shared" si="505"/>
        <v>0</v>
      </c>
      <c r="W1017" s="38">
        <f t="shared" si="505"/>
        <v>0</v>
      </c>
      <c r="X1017" s="38">
        <f t="shared" si="505"/>
        <v>0</v>
      </c>
      <c r="Y1017" s="38">
        <f t="shared" si="505"/>
        <v>0</v>
      </c>
      <c r="Z1017" s="38">
        <f t="shared" si="505"/>
        <v>0</v>
      </c>
      <c r="AA1017" s="38">
        <f t="shared" si="505"/>
        <v>0</v>
      </c>
      <c r="AB1017" s="38">
        <f t="shared" si="505"/>
        <v>0</v>
      </c>
      <c r="AC1017" s="38">
        <f t="shared" si="505"/>
        <v>0</v>
      </c>
      <c r="AD1017" s="38">
        <f t="shared" si="505"/>
        <v>0</v>
      </c>
    </row>
    <row r="1018" spans="2:30">
      <c r="B1018" t="str">
        <f t="shared" si="492"/>
        <v>DesInversiones en proyectos caja</v>
      </c>
      <c r="E1018" s="55"/>
      <c r="S1018" s="38">
        <f t="shared" ref="S1018:AD1018" si="506">+$D994*G$628*(1+INFLACION)^($C994-$G$4)*$E994</f>
        <v>0</v>
      </c>
      <c r="T1018" s="38">
        <f t="shared" si="506"/>
        <v>0</v>
      </c>
      <c r="U1018" s="38">
        <f t="shared" si="506"/>
        <v>0</v>
      </c>
      <c r="V1018" s="38">
        <f t="shared" si="506"/>
        <v>0</v>
      </c>
      <c r="W1018" s="38">
        <f t="shared" si="506"/>
        <v>8965.7804239790185</v>
      </c>
      <c r="X1018" s="38">
        <f t="shared" si="506"/>
        <v>2561.651549708291</v>
      </c>
      <c r="Y1018" s="38">
        <f t="shared" si="506"/>
        <v>0</v>
      </c>
      <c r="Z1018" s="38">
        <f t="shared" si="506"/>
        <v>0</v>
      </c>
      <c r="AA1018" s="38">
        <f t="shared" si="506"/>
        <v>0</v>
      </c>
      <c r="AB1018" s="38">
        <f t="shared" si="506"/>
        <v>0</v>
      </c>
      <c r="AC1018" s="38">
        <f t="shared" si="506"/>
        <v>0</v>
      </c>
      <c r="AD1018" s="38">
        <f t="shared" si="506"/>
        <v>0</v>
      </c>
    </row>
    <row r="1019" spans="2:30">
      <c r="B1019" t="str">
        <f>+B989</f>
        <v>Escrituración</v>
      </c>
      <c r="S1019" s="38">
        <f t="shared" ref="S1019:AD1019" si="507">+$D994*G$629*(1+INFLACION)^($C994-$G$4)</f>
        <v>0</v>
      </c>
      <c r="T1019" s="38">
        <f t="shared" si="507"/>
        <v>0</v>
      </c>
      <c r="U1019" s="38">
        <f t="shared" si="507"/>
        <v>0</v>
      </c>
      <c r="V1019" s="38">
        <f t="shared" si="507"/>
        <v>82755.653045034371</v>
      </c>
      <c r="W1019" s="38">
        <f t="shared" si="507"/>
        <v>85324.486253386451</v>
      </c>
      <c r="X1019" s="38">
        <f t="shared" si="507"/>
        <v>87816.158013677865</v>
      </c>
      <c r="Y1019" s="38">
        <f t="shared" si="507"/>
        <v>102280.71446471168</v>
      </c>
      <c r="Z1019" s="38">
        <f t="shared" si="507"/>
        <v>0</v>
      </c>
      <c r="AA1019" s="38">
        <f t="shared" si="507"/>
        <v>0</v>
      </c>
      <c r="AB1019" s="38">
        <f t="shared" si="507"/>
        <v>0</v>
      </c>
      <c r="AC1019" s="38">
        <f t="shared" si="507"/>
        <v>0</v>
      </c>
      <c r="AD1019" s="38">
        <f t="shared" si="507"/>
        <v>0</v>
      </c>
    </row>
    <row r="1020" spans="2:30">
      <c r="B1020" t="s">
        <v>359</v>
      </c>
      <c r="E1020" s="55"/>
      <c r="S1020" s="38">
        <f t="shared" ref="S1020:AD1020" si="508">+$D994*G$630*(1+INFLACION)^($C994-$G$4)</f>
        <v>0</v>
      </c>
      <c r="T1020" s="38">
        <f t="shared" si="508"/>
        <v>0</v>
      </c>
      <c r="U1020" s="38">
        <f t="shared" si="508"/>
        <v>0</v>
      </c>
      <c r="V1020" s="38">
        <f t="shared" si="508"/>
        <v>53573.740097711765</v>
      </c>
      <c r="W1020" s="38">
        <f t="shared" si="508"/>
        <v>55236.732263138023</v>
      </c>
      <c r="X1020" s="38">
        <f t="shared" si="508"/>
        <v>56849.77222334496</v>
      </c>
      <c r="Y1020" s="38">
        <f t="shared" si="508"/>
        <v>66213.729360081765</v>
      </c>
      <c r="Z1020" s="38">
        <f t="shared" si="508"/>
        <v>0</v>
      </c>
      <c r="AA1020" s="38">
        <f t="shared" si="508"/>
        <v>0</v>
      </c>
      <c r="AB1020" s="38">
        <f t="shared" si="508"/>
        <v>0</v>
      </c>
      <c r="AC1020" s="38">
        <f t="shared" si="508"/>
        <v>0</v>
      </c>
      <c r="AD1020" s="38">
        <f t="shared" si="508"/>
        <v>0</v>
      </c>
    </row>
    <row r="1021" spans="2:30">
      <c r="E1021" s="55"/>
    </row>
    <row r="1022" spans="2:30">
      <c r="E1022" s="55"/>
    </row>
    <row r="1023" spans="2:30">
      <c r="C1023" t="s">
        <v>615</v>
      </c>
      <c r="D1023" t="s">
        <v>616</v>
      </c>
      <c r="E1023" s="55" t="s">
        <v>617</v>
      </c>
    </row>
    <row r="1024" spans="2:30">
      <c r="B1024" t="s">
        <v>618</v>
      </c>
      <c r="C1024">
        <f>+C994+1</f>
        <v>2032</v>
      </c>
      <c r="D1024">
        <f>+VLOOKUP(C1024,$B$545:$C$567,2,FALSE)</f>
        <v>4</v>
      </c>
      <c r="E1024" s="55">
        <f>+HLOOKUP('Proyectos Inmob detall'!C1024,Proyecciones!$G$56:$AG$57,2,FALSE)</f>
        <v>1</v>
      </c>
    </row>
    <row r="1025" spans="2:31">
      <c r="B1025" t="str">
        <f>+B995</f>
        <v>Arquitectura</v>
      </c>
      <c r="E1025" s="55"/>
    </row>
    <row r="1026" spans="2:31">
      <c r="B1026" t="str">
        <f t="shared" ref="B1026:B1048" si="509">+B996</f>
        <v>Ventas</v>
      </c>
      <c r="E1026" s="55"/>
      <c r="T1026" s="38">
        <f t="shared" ref="T1026:AE1026" si="510">+$D1024*G$606*(1+INFLACION)^($C1024-$G$4)</f>
        <v>0</v>
      </c>
      <c r="U1026" s="38">
        <f t="shared" si="510"/>
        <v>149.09786164153576</v>
      </c>
      <c r="V1026" s="38">
        <f t="shared" si="510"/>
        <v>381.45026337604963</v>
      </c>
      <c r="W1026" s="38">
        <f t="shared" si="510"/>
        <v>402.00184730074415</v>
      </c>
      <c r="X1026" s="38">
        <f t="shared" si="510"/>
        <v>393.29339785571773</v>
      </c>
      <c r="Y1026" s="38">
        <f t="shared" si="510"/>
        <v>364.5164679165124</v>
      </c>
      <c r="Z1026" s="38">
        <f t="shared" si="510"/>
        <v>460.68864339570496</v>
      </c>
      <c r="AA1026" s="38">
        <f t="shared" si="510"/>
        <v>0</v>
      </c>
      <c r="AB1026" s="38">
        <f t="shared" si="510"/>
        <v>0</v>
      </c>
      <c r="AC1026" s="38">
        <f t="shared" si="510"/>
        <v>0</v>
      </c>
      <c r="AD1026" s="38">
        <f t="shared" si="510"/>
        <v>0</v>
      </c>
      <c r="AE1026" s="38">
        <f t="shared" si="510"/>
        <v>0</v>
      </c>
    </row>
    <row r="1027" spans="2:31">
      <c r="B1027" t="str">
        <f t="shared" si="509"/>
        <v>Caja</v>
      </c>
      <c r="E1027" s="55"/>
      <c r="T1027" s="38">
        <f t="shared" ref="T1027:AE1027" si="511">+$D1024*G$607*(1+INFLACION)^($C1024-$G$4)</f>
        <v>0</v>
      </c>
      <c r="U1027" s="38">
        <f t="shared" si="511"/>
        <v>0</v>
      </c>
      <c r="V1027" s="38">
        <f t="shared" si="511"/>
        <v>496.99287213845253</v>
      </c>
      <c r="W1027" s="38">
        <f t="shared" si="511"/>
        <v>0</v>
      </c>
      <c r="X1027" s="38">
        <f t="shared" si="511"/>
        <v>512.42011785867874</v>
      </c>
      <c r="Y1027" s="38">
        <f t="shared" si="511"/>
        <v>527.38396696152654</v>
      </c>
      <c r="Z1027" s="38">
        <f t="shared" si="511"/>
        <v>614.25152452760642</v>
      </c>
      <c r="AA1027" s="38">
        <f t="shared" si="511"/>
        <v>0</v>
      </c>
      <c r="AB1027" s="38">
        <f t="shared" si="511"/>
        <v>0</v>
      </c>
      <c r="AC1027" s="38">
        <f t="shared" si="511"/>
        <v>0</v>
      </c>
      <c r="AD1027" s="38">
        <f t="shared" si="511"/>
        <v>0</v>
      </c>
      <c r="AE1027" s="38">
        <f t="shared" si="511"/>
        <v>0</v>
      </c>
    </row>
    <row r="1028" spans="2:31">
      <c r="E1028" s="55"/>
    </row>
    <row r="1029" spans="2:31">
      <c r="B1029" t="str">
        <f t="shared" si="509"/>
        <v>Preconstrucción</v>
      </c>
      <c r="E1029" s="55"/>
    </row>
    <row r="1030" spans="2:31">
      <c r="B1030" t="str">
        <f t="shared" si="509"/>
        <v>Ventas</v>
      </c>
      <c r="E1030" s="55"/>
      <c r="T1030" s="38">
        <f t="shared" ref="T1030:AE1030" si="512">$D1024*G$610*(1+INFLACION)^($C1024-$G$4)</f>
        <v>0</v>
      </c>
      <c r="U1030" s="38">
        <f t="shared" si="512"/>
        <v>59.639144656614306</v>
      </c>
      <c r="V1030" s="38">
        <f t="shared" si="512"/>
        <v>152.58010535041981</v>
      </c>
      <c r="W1030" s="38">
        <f t="shared" si="512"/>
        <v>160.80073892029762</v>
      </c>
      <c r="X1030" s="38">
        <f t="shared" si="512"/>
        <v>157.31735914228702</v>
      </c>
      <c r="Y1030" s="38">
        <f t="shared" si="512"/>
        <v>145.80658716660494</v>
      </c>
      <c r="Z1030" s="38">
        <f t="shared" si="512"/>
        <v>184.2754573582819</v>
      </c>
      <c r="AA1030" s="38">
        <f t="shared" si="512"/>
        <v>0</v>
      </c>
      <c r="AB1030" s="38">
        <f t="shared" si="512"/>
        <v>0</v>
      </c>
      <c r="AC1030" s="38">
        <f t="shared" si="512"/>
        <v>0</v>
      </c>
      <c r="AD1030" s="38">
        <f t="shared" si="512"/>
        <v>0</v>
      </c>
      <c r="AE1030" s="38">
        <f t="shared" si="512"/>
        <v>0</v>
      </c>
    </row>
    <row r="1031" spans="2:31">
      <c r="B1031" t="str">
        <f t="shared" si="509"/>
        <v>Caja</v>
      </c>
      <c r="E1031" s="55"/>
      <c r="T1031" s="38">
        <f t="shared" ref="T1031:AE1031" si="513">+$D1024*G$611*(1+INFLACION)^($C1024-$G$4)</f>
        <v>0</v>
      </c>
      <c r="U1031" s="38">
        <f t="shared" si="513"/>
        <v>0</v>
      </c>
      <c r="V1031" s="38">
        <f t="shared" si="513"/>
        <v>198.79714885538101</v>
      </c>
      <c r="W1031" s="38">
        <f t="shared" si="513"/>
        <v>0</v>
      </c>
      <c r="X1031" s="38">
        <f t="shared" si="513"/>
        <v>204.96804714347152</v>
      </c>
      <c r="Y1031" s="38">
        <f t="shared" si="513"/>
        <v>210.95358678461059</v>
      </c>
      <c r="Z1031" s="38">
        <f t="shared" si="513"/>
        <v>245.70060981104257</v>
      </c>
      <c r="AA1031" s="38">
        <f t="shared" si="513"/>
        <v>0</v>
      </c>
      <c r="AB1031" s="38">
        <f t="shared" si="513"/>
        <v>0</v>
      </c>
      <c r="AC1031" s="38">
        <f t="shared" si="513"/>
        <v>0</v>
      </c>
      <c r="AD1031" s="38">
        <f t="shared" si="513"/>
        <v>0</v>
      </c>
      <c r="AE1031" s="38">
        <f t="shared" si="513"/>
        <v>0</v>
      </c>
    </row>
    <row r="1032" spans="2:31">
      <c r="E1032" s="55"/>
    </row>
    <row r="1033" spans="2:31">
      <c r="B1033" t="str">
        <f t="shared" si="509"/>
        <v>Construccion</v>
      </c>
      <c r="E1033" s="55"/>
    </row>
    <row r="1034" spans="2:31">
      <c r="B1034" t="str">
        <f t="shared" si="509"/>
        <v>Ventas</v>
      </c>
      <c r="E1034" s="55"/>
      <c r="T1034" s="38">
        <f t="shared" ref="T1034:AE1034" si="514">+$D1024*G$614*(1+INFLACION)^($C1024-$G$4)</f>
        <v>0</v>
      </c>
      <c r="U1034" s="38">
        <f t="shared" si="514"/>
        <v>15953.471195644324</v>
      </c>
      <c r="V1034" s="38">
        <f t="shared" si="514"/>
        <v>40815.178181237308</v>
      </c>
      <c r="W1034" s="38">
        <f t="shared" si="514"/>
        <v>43014.197661179613</v>
      </c>
      <c r="X1034" s="38">
        <f t="shared" si="514"/>
        <v>42082.393570561799</v>
      </c>
      <c r="Y1034" s="38">
        <f t="shared" si="514"/>
        <v>39003.262067066811</v>
      </c>
      <c r="Z1034" s="38">
        <f t="shared" si="514"/>
        <v>49293.684843340387</v>
      </c>
      <c r="AA1034" s="38">
        <f t="shared" si="514"/>
        <v>0</v>
      </c>
      <c r="AB1034" s="38">
        <f t="shared" si="514"/>
        <v>0</v>
      </c>
      <c r="AC1034" s="38">
        <f t="shared" si="514"/>
        <v>0</v>
      </c>
      <c r="AD1034" s="38">
        <f t="shared" si="514"/>
        <v>0</v>
      </c>
      <c r="AE1034" s="38">
        <f t="shared" si="514"/>
        <v>0</v>
      </c>
    </row>
    <row r="1035" spans="2:31">
      <c r="B1035" t="str">
        <f t="shared" si="509"/>
        <v>Utilidad</v>
      </c>
      <c r="E1035" s="55"/>
      <c r="T1035" s="38">
        <f t="shared" ref="T1035:AE1035" si="515">+$D1024*G$615*(1+INFLACION)^($C1024-$G$4)</f>
        <v>0</v>
      </c>
      <c r="U1035" s="38">
        <f t="shared" si="515"/>
        <v>1043.6850314907501</v>
      </c>
      <c r="V1035" s="38">
        <f t="shared" si="515"/>
        <v>2670.1518436323449</v>
      </c>
      <c r="W1035" s="38">
        <f t="shared" si="515"/>
        <v>2814.0129311052078</v>
      </c>
      <c r="X1035" s="38">
        <f t="shared" si="515"/>
        <v>2753.0537849900234</v>
      </c>
      <c r="Y1035" s="38">
        <f t="shared" si="515"/>
        <v>2551.6152754155787</v>
      </c>
      <c r="Z1035" s="38">
        <f t="shared" si="515"/>
        <v>3224.8205037699395</v>
      </c>
      <c r="AA1035" s="38">
        <f t="shared" si="515"/>
        <v>0</v>
      </c>
      <c r="AB1035" s="38">
        <f t="shared" si="515"/>
        <v>0</v>
      </c>
      <c r="AC1035" s="38">
        <f t="shared" si="515"/>
        <v>0</v>
      </c>
      <c r="AD1035" s="38">
        <f t="shared" si="515"/>
        <v>0</v>
      </c>
      <c r="AE1035" s="38">
        <f t="shared" si="515"/>
        <v>0</v>
      </c>
    </row>
    <row r="1036" spans="2:31">
      <c r="B1036" t="str">
        <f t="shared" si="509"/>
        <v>Caja</v>
      </c>
      <c r="E1036" s="55"/>
      <c r="T1036" s="38">
        <f t="shared" ref="T1036:AE1036" si="516">+$D1024*G$616*(1+INFLACION)^($C1024-$G$4)</f>
        <v>0</v>
      </c>
      <c r="U1036" s="38">
        <f t="shared" si="516"/>
        <v>0</v>
      </c>
      <c r="V1036" s="38">
        <f t="shared" si="516"/>
        <v>0</v>
      </c>
      <c r="W1036" s="38">
        <f t="shared" si="516"/>
        <v>3478.9501049691653</v>
      </c>
      <c r="X1036" s="38">
        <f t="shared" si="516"/>
        <v>3586.9408250107476</v>
      </c>
      <c r="Y1036" s="38">
        <f t="shared" si="516"/>
        <v>2215.0126612384129</v>
      </c>
      <c r="Z1036" s="38">
        <f t="shared" si="516"/>
        <v>5776.4357791855118</v>
      </c>
      <c r="AA1036" s="38">
        <f t="shared" si="516"/>
        <v>0</v>
      </c>
      <c r="AB1036" s="38">
        <f t="shared" si="516"/>
        <v>0</v>
      </c>
      <c r="AC1036" s="38">
        <f t="shared" si="516"/>
        <v>0</v>
      </c>
      <c r="AD1036" s="38">
        <f t="shared" si="516"/>
        <v>0</v>
      </c>
      <c r="AE1036" s="38">
        <f t="shared" si="516"/>
        <v>0</v>
      </c>
    </row>
    <row r="1037" spans="2:31">
      <c r="E1037" s="55"/>
    </row>
    <row r="1038" spans="2:31">
      <c r="B1038" t="str">
        <f t="shared" si="509"/>
        <v>Inmobiliario</v>
      </c>
      <c r="E1038" s="55"/>
    </row>
    <row r="1039" spans="2:31">
      <c r="B1039" t="str">
        <f t="shared" si="509"/>
        <v>Ventas</v>
      </c>
      <c r="E1039" s="55"/>
      <c r="T1039" s="38">
        <f t="shared" ref="T1039:AE1039" si="517">+$D1024*G$619*(1+INFLACION)^($C1024-$G$4)</f>
        <v>0</v>
      </c>
      <c r="U1039" s="38">
        <f t="shared" si="517"/>
        <v>8757.5167144666884</v>
      </c>
      <c r="V1039" s="38">
        <f t="shared" si="517"/>
        <v>22376.193646040058</v>
      </c>
      <c r="W1039" s="38">
        <f t="shared" si="517"/>
        <v>23265.589974429131</v>
      </c>
      <c r="X1039" s="38">
        <f t="shared" si="517"/>
        <v>22488.715338728871</v>
      </c>
      <c r="Y1039" s="38">
        <f t="shared" si="517"/>
        <v>20649.374345131153</v>
      </c>
      <c r="Z1039" s="38">
        <f t="shared" si="517"/>
        <v>25867.484576775791</v>
      </c>
      <c r="AA1039" s="38">
        <f t="shared" si="517"/>
        <v>0</v>
      </c>
      <c r="AB1039" s="38">
        <f t="shared" si="517"/>
        <v>0</v>
      </c>
      <c r="AC1039" s="38">
        <f t="shared" si="517"/>
        <v>0</v>
      </c>
      <c r="AD1039" s="38">
        <f t="shared" si="517"/>
        <v>0</v>
      </c>
      <c r="AE1039" s="38">
        <f t="shared" si="517"/>
        <v>0</v>
      </c>
    </row>
    <row r="1040" spans="2:31">
      <c r="B1040" t="str">
        <f t="shared" si="509"/>
        <v>Utilidad</v>
      </c>
      <c r="E1040" s="55"/>
      <c r="T1040" s="38">
        <f t="shared" ref="T1040:AE1040" si="518">$D1024*G$620*(1+INFLACION)^($C1024-$G$4)</f>
        <v>0</v>
      </c>
      <c r="U1040" s="38">
        <f t="shared" si="518"/>
        <v>1800.0776672831169</v>
      </c>
      <c r="V1040" s="38">
        <f t="shared" si="518"/>
        <v>4605.2981090588983</v>
      </c>
      <c r="W1040" s="38">
        <f t="shared" si="518"/>
        <v>4853.4200260524458</v>
      </c>
      <c r="X1040" s="38">
        <f t="shared" si="518"/>
        <v>4748.2817954294997</v>
      </c>
      <c r="Y1040" s="38">
        <f t="shared" si="518"/>
        <v>4400.8542176881565</v>
      </c>
      <c r="Z1040" s="38">
        <f t="shared" si="518"/>
        <v>5561.9532662468646</v>
      </c>
      <c r="AA1040" s="38">
        <f t="shared" si="518"/>
        <v>0</v>
      </c>
      <c r="AB1040" s="38">
        <f t="shared" si="518"/>
        <v>0</v>
      </c>
      <c r="AC1040" s="38">
        <f t="shared" si="518"/>
        <v>0</v>
      </c>
      <c r="AD1040" s="38">
        <f t="shared" si="518"/>
        <v>0</v>
      </c>
      <c r="AE1040" s="38">
        <f t="shared" si="518"/>
        <v>0</v>
      </c>
    </row>
    <row r="1041" spans="2:32">
      <c r="B1041" t="str">
        <f t="shared" si="509"/>
        <v>Caja</v>
      </c>
      <c r="E1041" s="55"/>
      <c r="T1041" s="38">
        <f t="shared" ref="T1041:AE1041" si="519">+$D1024*G$621*(1+INFLACION)^($C1024-$G$4)</f>
        <v>0</v>
      </c>
      <c r="U1041" s="38">
        <f t="shared" si="519"/>
        <v>0</v>
      </c>
      <c r="V1041" s="38">
        <f t="shared" si="519"/>
        <v>0</v>
      </c>
      <c r="W1041" s="38">
        <f t="shared" si="519"/>
        <v>6000.2588909437218</v>
      </c>
      <c r="X1041" s="38">
        <f t="shared" si="519"/>
        <v>6186.5140134714593</v>
      </c>
      <c r="Y1041" s="38">
        <f t="shared" si="519"/>
        <v>3820.3046934087783</v>
      </c>
      <c r="Z1041" s="38">
        <f t="shared" si="519"/>
        <v>9962.8074839350174</v>
      </c>
      <c r="AA1041" s="38">
        <f t="shared" si="519"/>
        <v>0</v>
      </c>
      <c r="AB1041" s="38">
        <f t="shared" si="519"/>
        <v>0</v>
      </c>
      <c r="AC1041" s="38">
        <f t="shared" si="519"/>
        <v>0</v>
      </c>
      <c r="AD1041" s="38">
        <f t="shared" si="519"/>
        <v>0</v>
      </c>
      <c r="AE1041" s="38">
        <f t="shared" si="519"/>
        <v>0</v>
      </c>
    </row>
    <row r="1042" spans="2:32">
      <c r="E1042" s="55"/>
    </row>
    <row r="1043" spans="2:32">
      <c r="B1043" t="str">
        <f t="shared" si="509"/>
        <v>utilidad como inversionista</v>
      </c>
      <c r="E1043" s="55"/>
    </row>
    <row r="1044" spans="2:32">
      <c r="B1044" t="str">
        <f t="shared" si="509"/>
        <v>Ventas</v>
      </c>
      <c r="E1044" s="55"/>
      <c r="T1044" s="38">
        <f t="shared" ref="T1044:AE1044" si="520">+$D1024*G$624*(1+INFLACION)^($C1024-$G$4)*$E1024</f>
        <v>0</v>
      </c>
      <c r="U1044" s="38">
        <f t="shared" si="520"/>
        <v>900.03883364155786</v>
      </c>
      <c r="V1044" s="38">
        <f t="shared" si="520"/>
        <v>2331.58597491504</v>
      </c>
      <c r="W1044" s="38">
        <f t="shared" si="520"/>
        <v>2773.3828720299698</v>
      </c>
      <c r="X1044" s="38">
        <f t="shared" si="520"/>
        <v>2986.1827897746271</v>
      </c>
      <c r="Y1044" s="38">
        <f t="shared" si="520"/>
        <v>2961.5480272339696</v>
      </c>
      <c r="Z1044" s="38">
        <f t="shared" si="520"/>
        <v>3972.8237616049046</v>
      </c>
      <c r="AA1044" s="38">
        <f t="shared" si="520"/>
        <v>0</v>
      </c>
      <c r="AB1044" s="38">
        <f t="shared" si="520"/>
        <v>0</v>
      </c>
      <c r="AC1044" s="38">
        <f t="shared" si="520"/>
        <v>0</v>
      </c>
      <c r="AD1044" s="38">
        <f t="shared" si="520"/>
        <v>0</v>
      </c>
      <c r="AE1044" s="38">
        <f t="shared" si="520"/>
        <v>0</v>
      </c>
    </row>
    <row r="1045" spans="2:32">
      <c r="B1045" t="str">
        <f t="shared" si="509"/>
        <v>Caja</v>
      </c>
      <c r="E1045" s="55"/>
      <c r="T1045" s="38">
        <f t="shared" ref="T1045:AE1045" si="521">+$D1024*G$625*(1+INFLACION)^($C1024-$G$4)*$E1024</f>
        <v>0</v>
      </c>
      <c r="U1045" s="38">
        <f t="shared" si="521"/>
        <v>0</v>
      </c>
      <c r="V1045" s="38">
        <f t="shared" si="521"/>
        <v>0</v>
      </c>
      <c r="W1045" s="38">
        <f t="shared" si="521"/>
        <v>0</v>
      </c>
      <c r="X1045" s="38">
        <f t="shared" si="521"/>
        <v>0</v>
      </c>
      <c r="Y1045" s="38">
        <f t="shared" si="521"/>
        <v>3535.150864840833</v>
      </c>
      <c r="Z1045" s="38">
        <f t="shared" si="521"/>
        <v>7093.3130455526953</v>
      </c>
      <c r="AA1045" s="38">
        <f t="shared" si="521"/>
        <v>5297.0983488065403</v>
      </c>
      <c r="AB1045" s="38">
        <f t="shared" si="521"/>
        <v>0</v>
      </c>
      <c r="AC1045" s="38">
        <f t="shared" si="521"/>
        <v>0</v>
      </c>
      <c r="AD1045" s="38">
        <f t="shared" si="521"/>
        <v>0</v>
      </c>
      <c r="AE1045" s="38">
        <f t="shared" si="521"/>
        <v>0</v>
      </c>
    </row>
    <row r="1046" spans="2:32">
      <c r="E1046" s="55"/>
    </row>
    <row r="1047" spans="2:32">
      <c r="B1047" t="str">
        <f t="shared" si="509"/>
        <v>Inversiones en proyectos caja</v>
      </c>
      <c r="E1047" s="55"/>
      <c r="T1047" s="38">
        <f t="shared" ref="T1047:AE1047" si="522">$D1024*G$627*(1+INFLACION)^($C1024-$G$4)*$E1024</f>
        <v>9324.4116409381786</v>
      </c>
      <c r="U1047" s="38">
        <f t="shared" si="522"/>
        <v>2664.1176116966226</v>
      </c>
      <c r="V1047" s="38">
        <f t="shared" si="522"/>
        <v>0</v>
      </c>
      <c r="W1047" s="38">
        <f t="shared" si="522"/>
        <v>0</v>
      </c>
      <c r="X1047" s="38">
        <f t="shared" si="522"/>
        <v>0</v>
      </c>
      <c r="Y1047" s="38">
        <f t="shared" si="522"/>
        <v>0</v>
      </c>
      <c r="Z1047" s="38">
        <f t="shared" si="522"/>
        <v>0</v>
      </c>
      <c r="AA1047" s="38">
        <f t="shared" si="522"/>
        <v>0</v>
      </c>
      <c r="AB1047" s="38">
        <f t="shared" si="522"/>
        <v>0</v>
      </c>
      <c r="AC1047" s="38">
        <f t="shared" si="522"/>
        <v>0</v>
      </c>
      <c r="AD1047" s="38">
        <f t="shared" si="522"/>
        <v>0</v>
      </c>
      <c r="AE1047" s="38">
        <f t="shared" si="522"/>
        <v>0</v>
      </c>
    </row>
    <row r="1048" spans="2:32">
      <c r="B1048" t="str">
        <f t="shared" si="509"/>
        <v>DesInversiones en proyectos caja</v>
      </c>
      <c r="E1048" s="55"/>
      <c r="T1048" s="38">
        <f t="shared" ref="T1048:AE1048" si="523">+$D1024*G$628*(1+INFLACION)^($C1024-$G$4)*$E1024</f>
        <v>0</v>
      </c>
      <c r="U1048" s="38">
        <f t="shared" si="523"/>
        <v>0</v>
      </c>
      <c r="V1048" s="38">
        <f t="shared" si="523"/>
        <v>0</v>
      </c>
      <c r="W1048" s="38">
        <f t="shared" si="523"/>
        <v>0</v>
      </c>
      <c r="X1048" s="38">
        <f t="shared" si="523"/>
        <v>9324.4116409381786</v>
      </c>
      <c r="Y1048" s="38">
        <f t="shared" si="523"/>
        <v>2664.1176116966226</v>
      </c>
      <c r="Z1048" s="38">
        <f t="shared" si="523"/>
        <v>0</v>
      </c>
      <c r="AA1048" s="38">
        <f t="shared" si="523"/>
        <v>0</v>
      </c>
      <c r="AB1048" s="38">
        <f t="shared" si="523"/>
        <v>0</v>
      </c>
      <c r="AC1048" s="38">
        <f t="shared" si="523"/>
        <v>0</v>
      </c>
      <c r="AD1048" s="38">
        <f t="shared" si="523"/>
        <v>0</v>
      </c>
      <c r="AE1048" s="38">
        <f t="shared" si="523"/>
        <v>0</v>
      </c>
    </row>
    <row r="1049" spans="2:32">
      <c r="B1049" t="str">
        <f>+B1019</f>
        <v>Escrituración</v>
      </c>
      <c r="T1049" s="38">
        <f t="shared" ref="T1049:AE1049" si="524">+$D1024*G$629*(1+INFLACION)^($C1024-$G$4)</f>
        <v>0</v>
      </c>
      <c r="U1049" s="38">
        <f t="shared" si="524"/>
        <v>0</v>
      </c>
      <c r="V1049" s="38">
        <f t="shared" si="524"/>
        <v>0</v>
      </c>
      <c r="W1049" s="38">
        <f t="shared" si="524"/>
        <v>86065.879166835744</v>
      </c>
      <c r="X1049" s="38">
        <f t="shared" si="524"/>
        <v>88737.465703521913</v>
      </c>
      <c r="Y1049" s="38">
        <f t="shared" si="524"/>
        <v>91328.804334224988</v>
      </c>
      <c r="Z1049" s="38">
        <f t="shared" si="524"/>
        <v>106371.94304330014</v>
      </c>
      <c r="AA1049" s="38">
        <f t="shared" si="524"/>
        <v>0</v>
      </c>
      <c r="AB1049" s="38">
        <f t="shared" si="524"/>
        <v>0</v>
      </c>
      <c r="AC1049" s="38">
        <f t="shared" si="524"/>
        <v>0</v>
      </c>
      <c r="AD1049" s="38">
        <f t="shared" si="524"/>
        <v>0</v>
      </c>
      <c r="AE1049" s="38">
        <f t="shared" si="524"/>
        <v>0</v>
      </c>
    </row>
    <row r="1050" spans="2:32">
      <c r="B1050" t="s">
        <v>359</v>
      </c>
      <c r="E1050" s="55"/>
      <c r="T1050" s="38">
        <f t="shared" ref="T1050:AE1050" si="525">+$D1024*G$630*(1+INFLACION)^($C1024-$G$4)</f>
        <v>0</v>
      </c>
      <c r="U1050" s="38">
        <f t="shared" si="525"/>
        <v>0</v>
      </c>
      <c r="V1050" s="38">
        <f t="shared" si="525"/>
        <v>0</v>
      </c>
      <c r="W1050" s="38">
        <f t="shared" si="525"/>
        <v>55716.689701620242</v>
      </c>
      <c r="X1050" s="38">
        <f t="shared" si="525"/>
        <v>57446.201553663544</v>
      </c>
      <c r="Y1050" s="38">
        <f t="shared" si="525"/>
        <v>59123.763112278764</v>
      </c>
      <c r="Z1050" s="38">
        <f t="shared" si="525"/>
        <v>68862.278534485027</v>
      </c>
      <c r="AA1050" s="38">
        <f t="shared" si="525"/>
        <v>0</v>
      </c>
      <c r="AB1050" s="38">
        <f t="shared" si="525"/>
        <v>0</v>
      </c>
      <c r="AC1050" s="38">
        <f t="shared" si="525"/>
        <v>0</v>
      </c>
      <c r="AD1050" s="38">
        <f t="shared" si="525"/>
        <v>0</v>
      </c>
      <c r="AE1050" s="38">
        <f t="shared" si="525"/>
        <v>0</v>
      </c>
    </row>
    <row r="1051" spans="2:32">
      <c r="E1051" s="55"/>
    </row>
    <row r="1052" spans="2:32">
      <c r="E1052" s="55"/>
    </row>
    <row r="1053" spans="2:32">
      <c r="C1053" t="s">
        <v>615</v>
      </c>
      <c r="D1053" t="s">
        <v>616</v>
      </c>
      <c r="E1053" s="55" t="s">
        <v>617</v>
      </c>
    </row>
    <row r="1054" spans="2:32">
      <c r="B1054" t="s">
        <v>618</v>
      </c>
      <c r="C1054">
        <f>+C1024+1</f>
        <v>2033</v>
      </c>
      <c r="D1054">
        <f>+VLOOKUP(C1054,$B$545:$C$567,2,FALSE)</f>
        <v>4</v>
      </c>
      <c r="E1054" s="55">
        <f>+HLOOKUP('Proyectos Inmob detall'!C1054,Proyecciones!$G$56:$AG$57,2,FALSE)</f>
        <v>1</v>
      </c>
    </row>
    <row r="1055" spans="2:32">
      <c r="B1055" t="str">
        <f>+B1025</f>
        <v>Arquitectura</v>
      </c>
      <c r="E1055" s="55"/>
    </row>
    <row r="1056" spans="2:32">
      <c r="B1056" t="str">
        <f t="shared" ref="B1056:B1078" si="526">+B1026</f>
        <v>Ventas</v>
      </c>
      <c r="E1056" s="55"/>
      <c r="U1056" s="38">
        <f t="shared" ref="U1056:AF1056" si="527">+$D1054*G$606*(1+INFLACION)^($C1054-$G$4)</f>
        <v>0</v>
      </c>
      <c r="V1056" s="38">
        <f t="shared" si="527"/>
        <v>155.0617761071972</v>
      </c>
      <c r="W1056" s="38">
        <f t="shared" si="527"/>
        <v>396.70827391109162</v>
      </c>
      <c r="X1056" s="38">
        <f t="shared" si="527"/>
        <v>418.0819211927739</v>
      </c>
      <c r="Y1056" s="38">
        <f t="shared" si="527"/>
        <v>409.02513376994642</v>
      </c>
      <c r="Z1056" s="38">
        <f t="shared" si="527"/>
        <v>379.09712663317288</v>
      </c>
      <c r="AA1056" s="38">
        <f t="shared" si="527"/>
        <v>479.11618913153313</v>
      </c>
      <c r="AB1056" s="38">
        <f t="shared" si="527"/>
        <v>0</v>
      </c>
      <c r="AC1056" s="38">
        <f t="shared" si="527"/>
        <v>0</v>
      </c>
      <c r="AD1056" s="38">
        <f t="shared" si="527"/>
        <v>0</v>
      </c>
      <c r="AE1056" s="38">
        <f t="shared" si="527"/>
        <v>0</v>
      </c>
      <c r="AF1056" s="38">
        <f t="shared" si="527"/>
        <v>0</v>
      </c>
    </row>
    <row r="1057" spans="2:32">
      <c r="B1057" t="str">
        <f t="shared" si="526"/>
        <v>Caja</v>
      </c>
      <c r="E1057" s="55"/>
      <c r="U1057" s="38">
        <f t="shared" ref="U1057:AF1057" si="528">+$D1054*G$607*(1+INFLACION)^($C1054-$G$4)</f>
        <v>0</v>
      </c>
      <c r="V1057" s="38">
        <f t="shared" si="528"/>
        <v>0</v>
      </c>
      <c r="W1057" s="38">
        <f t="shared" si="528"/>
        <v>516.8725870239906</v>
      </c>
      <c r="X1057" s="38">
        <f t="shared" si="528"/>
        <v>0</v>
      </c>
      <c r="Y1057" s="38">
        <f t="shared" si="528"/>
        <v>532.91692257302589</v>
      </c>
      <c r="Z1057" s="38">
        <f t="shared" si="528"/>
        <v>548.47932563998768</v>
      </c>
      <c r="AA1057" s="38">
        <f t="shared" si="528"/>
        <v>638.82158550871065</v>
      </c>
      <c r="AB1057" s="38">
        <f t="shared" si="528"/>
        <v>0</v>
      </c>
      <c r="AC1057" s="38">
        <f t="shared" si="528"/>
        <v>0</v>
      </c>
      <c r="AD1057" s="38">
        <f t="shared" si="528"/>
        <v>0</v>
      </c>
      <c r="AE1057" s="38">
        <f t="shared" si="528"/>
        <v>0</v>
      </c>
      <c r="AF1057" s="38">
        <f t="shared" si="528"/>
        <v>0</v>
      </c>
    </row>
    <row r="1058" spans="2:32">
      <c r="E1058" s="55"/>
    </row>
    <row r="1059" spans="2:32">
      <c r="B1059" t="str">
        <f t="shared" si="526"/>
        <v>Preconstrucción</v>
      </c>
      <c r="E1059" s="55"/>
    </row>
    <row r="1060" spans="2:32">
      <c r="B1060" t="str">
        <f t="shared" si="526"/>
        <v>Ventas</v>
      </c>
      <c r="E1060" s="55"/>
      <c r="U1060" s="38">
        <f t="shared" ref="U1060:AF1060" si="529">$D1054*G$610*(1+INFLACION)^($C1054-$G$4)</f>
        <v>0</v>
      </c>
      <c r="V1060" s="38">
        <f t="shared" si="529"/>
        <v>62.024710442878877</v>
      </c>
      <c r="W1060" s="38">
        <f t="shared" si="529"/>
        <v>158.6833095644366</v>
      </c>
      <c r="X1060" s="38">
        <f t="shared" si="529"/>
        <v>167.23276847710952</v>
      </c>
      <c r="Y1060" s="38">
        <f t="shared" si="529"/>
        <v>163.61005350797851</v>
      </c>
      <c r="Z1060" s="38">
        <f t="shared" si="529"/>
        <v>151.63885065326915</v>
      </c>
      <c r="AA1060" s="38">
        <f t="shared" si="529"/>
        <v>191.64647565261316</v>
      </c>
      <c r="AB1060" s="38">
        <f t="shared" si="529"/>
        <v>0</v>
      </c>
      <c r="AC1060" s="38">
        <f t="shared" si="529"/>
        <v>0</v>
      </c>
      <c r="AD1060" s="38">
        <f t="shared" si="529"/>
        <v>0</v>
      </c>
      <c r="AE1060" s="38">
        <f t="shared" si="529"/>
        <v>0</v>
      </c>
      <c r="AF1060" s="38">
        <f t="shared" si="529"/>
        <v>0</v>
      </c>
    </row>
    <row r="1061" spans="2:32">
      <c r="B1061" t="str">
        <f t="shared" si="526"/>
        <v>Caja</v>
      </c>
      <c r="E1061" s="55"/>
      <c r="U1061" s="38">
        <f t="shared" ref="U1061:AF1061" si="530">+$D1054*G$611*(1+INFLACION)^($C1054-$G$4)</f>
        <v>0</v>
      </c>
      <c r="V1061" s="38">
        <f t="shared" si="530"/>
        <v>0</v>
      </c>
      <c r="W1061" s="38">
        <f t="shared" si="530"/>
        <v>206.74903480959625</v>
      </c>
      <c r="X1061" s="38">
        <f t="shared" si="530"/>
        <v>0</v>
      </c>
      <c r="Y1061" s="38">
        <f t="shared" si="530"/>
        <v>213.16676902921037</v>
      </c>
      <c r="Z1061" s="38">
        <f t="shared" si="530"/>
        <v>219.39173025599501</v>
      </c>
      <c r="AA1061" s="38">
        <f t="shared" si="530"/>
        <v>255.52863420348427</v>
      </c>
      <c r="AB1061" s="38">
        <f t="shared" si="530"/>
        <v>0</v>
      </c>
      <c r="AC1061" s="38">
        <f t="shared" si="530"/>
        <v>0</v>
      </c>
      <c r="AD1061" s="38">
        <f t="shared" si="530"/>
        <v>0</v>
      </c>
      <c r="AE1061" s="38">
        <f t="shared" si="530"/>
        <v>0</v>
      </c>
      <c r="AF1061" s="38">
        <f t="shared" si="530"/>
        <v>0</v>
      </c>
    </row>
    <row r="1062" spans="2:32">
      <c r="E1062" s="55"/>
    </row>
    <row r="1063" spans="2:32">
      <c r="B1063" t="str">
        <f t="shared" si="526"/>
        <v>Construccion</v>
      </c>
      <c r="E1063" s="55"/>
    </row>
    <row r="1064" spans="2:32">
      <c r="B1064" t="str">
        <f t="shared" si="526"/>
        <v>Ventas</v>
      </c>
      <c r="E1064" s="55"/>
      <c r="U1064" s="38">
        <f t="shared" ref="U1064:AF1064" si="531">+$D1054*G$614*(1+INFLACION)^($C1054-$G$4)</f>
        <v>0</v>
      </c>
      <c r="V1064" s="38">
        <f t="shared" si="531"/>
        <v>16591.610043470097</v>
      </c>
      <c r="W1064" s="38">
        <f t="shared" si="531"/>
        <v>42447.785308486797</v>
      </c>
      <c r="X1064" s="38">
        <f t="shared" si="531"/>
        <v>44734.765567626797</v>
      </c>
      <c r="Y1064" s="38">
        <f t="shared" si="531"/>
        <v>43765.689313384275</v>
      </c>
      <c r="Z1064" s="38">
        <f t="shared" si="531"/>
        <v>40563.392549749486</v>
      </c>
      <c r="AA1064" s="38">
        <f t="shared" si="531"/>
        <v>51265.432237073997</v>
      </c>
      <c r="AB1064" s="38">
        <f t="shared" si="531"/>
        <v>0</v>
      </c>
      <c r="AC1064" s="38">
        <f t="shared" si="531"/>
        <v>0</v>
      </c>
      <c r="AD1064" s="38">
        <f t="shared" si="531"/>
        <v>0</v>
      </c>
      <c r="AE1064" s="38">
        <f t="shared" si="531"/>
        <v>0</v>
      </c>
      <c r="AF1064" s="38">
        <f t="shared" si="531"/>
        <v>0</v>
      </c>
    </row>
    <row r="1065" spans="2:32">
      <c r="B1065" t="str">
        <f t="shared" si="526"/>
        <v>Utilidad</v>
      </c>
      <c r="E1065" s="55"/>
      <c r="U1065" s="38">
        <f t="shared" ref="U1065:AF1065" si="532">+$D1054*G$615*(1+INFLACION)^($C1054-$G$4)</f>
        <v>0</v>
      </c>
      <c r="V1065" s="38">
        <f t="shared" si="532"/>
        <v>1085.4324327503803</v>
      </c>
      <c r="W1065" s="38">
        <f t="shared" si="532"/>
        <v>2776.9579173776388</v>
      </c>
      <c r="X1065" s="38">
        <f t="shared" si="532"/>
        <v>2926.5734483494157</v>
      </c>
      <c r="Y1065" s="38">
        <f t="shared" si="532"/>
        <v>2863.1759363896244</v>
      </c>
      <c r="Z1065" s="38">
        <f t="shared" si="532"/>
        <v>2653.6798864322018</v>
      </c>
      <c r="AA1065" s="38">
        <f t="shared" si="532"/>
        <v>3353.8133239207373</v>
      </c>
      <c r="AB1065" s="38">
        <f t="shared" si="532"/>
        <v>0</v>
      </c>
      <c r="AC1065" s="38">
        <f t="shared" si="532"/>
        <v>0</v>
      </c>
      <c r="AD1065" s="38">
        <f t="shared" si="532"/>
        <v>0</v>
      </c>
      <c r="AE1065" s="38">
        <f t="shared" si="532"/>
        <v>0</v>
      </c>
      <c r="AF1065" s="38">
        <f t="shared" si="532"/>
        <v>0</v>
      </c>
    </row>
    <row r="1066" spans="2:32">
      <c r="B1066" t="str">
        <f t="shared" si="526"/>
        <v>Caja</v>
      </c>
      <c r="E1066" s="55"/>
      <c r="U1066" s="38">
        <f t="shared" ref="U1066:AF1066" si="533">+$D1054*G$616*(1+INFLACION)^($C1054-$G$4)</f>
        <v>0</v>
      </c>
      <c r="V1066" s="38">
        <f t="shared" si="533"/>
        <v>0</v>
      </c>
      <c r="W1066" s="38">
        <f t="shared" si="533"/>
        <v>0</v>
      </c>
      <c r="X1066" s="38">
        <f t="shared" si="533"/>
        <v>3618.1081091679321</v>
      </c>
      <c r="Y1066" s="38">
        <f t="shared" si="533"/>
        <v>3730.4184580111773</v>
      </c>
      <c r="Z1066" s="38">
        <f t="shared" si="533"/>
        <v>2303.6131676879495</v>
      </c>
      <c r="AA1066" s="38">
        <f t="shared" si="533"/>
        <v>6007.4932103529327</v>
      </c>
      <c r="AB1066" s="38">
        <f t="shared" si="533"/>
        <v>0</v>
      </c>
      <c r="AC1066" s="38">
        <f t="shared" si="533"/>
        <v>0</v>
      </c>
      <c r="AD1066" s="38">
        <f t="shared" si="533"/>
        <v>0</v>
      </c>
      <c r="AE1066" s="38">
        <f t="shared" si="533"/>
        <v>0</v>
      </c>
      <c r="AF1066" s="38">
        <f t="shared" si="533"/>
        <v>0</v>
      </c>
    </row>
    <row r="1067" spans="2:32">
      <c r="E1067" s="55"/>
    </row>
    <row r="1068" spans="2:32">
      <c r="B1068" t="str">
        <f t="shared" si="526"/>
        <v>Inmobiliario</v>
      </c>
      <c r="E1068" s="55"/>
    </row>
    <row r="1069" spans="2:32">
      <c r="B1069" t="str">
        <f t="shared" si="526"/>
        <v>Ventas</v>
      </c>
      <c r="E1069" s="55"/>
      <c r="U1069" s="38">
        <f t="shared" ref="U1069:AF1069" si="534">+$D1054*G$619*(1+INFLACION)^($C1054-$G$4)</f>
        <v>0</v>
      </c>
      <c r="V1069" s="38">
        <f t="shared" si="534"/>
        <v>9107.8173830453561</v>
      </c>
      <c r="W1069" s="38">
        <f t="shared" si="534"/>
        <v>23271.24139188166</v>
      </c>
      <c r="X1069" s="38">
        <f t="shared" si="534"/>
        <v>24196.213573406298</v>
      </c>
      <c r="Y1069" s="38">
        <f t="shared" si="534"/>
        <v>23388.263952278026</v>
      </c>
      <c r="Z1069" s="38">
        <f t="shared" si="534"/>
        <v>21475.349318936398</v>
      </c>
      <c r="AA1069" s="38">
        <f t="shared" si="534"/>
        <v>26902.183959846821</v>
      </c>
      <c r="AB1069" s="38">
        <f t="shared" si="534"/>
        <v>0</v>
      </c>
      <c r="AC1069" s="38">
        <f t="shared" si="534"/>
        <v>0</v>
      </c>
      <c r="AD1069" s="38">
        <f t="shared" si="534"/>
        <v>0</v>
      </c>
      <c r="AE1069" s="38">
        <f t="shared" si="534"/>
        <v>0</v>
      </c>
      <c r="AF1069" s="38">
        <f t="shared" si="534"/>
        <v>0</v>
      </c>
    </row>
    <row r="1070" spans="2:32">
      <c r="B1070" t="str">
        <f t="shared" si="526"/>
        <v>Utilidad</v>
      </c>
      <c r="E1070" s="55"/>
      <c r="U1070" s="38">
        <f t="shared" ref="U1070:AF1070" si="535">$D1054*G$620*(1+INFLACION)^($C1054-$G$4)</f>
        <v>0</v>
      </c>
      <c r="V1070" s="38">
        <f t="shared" si="535"/>
        <v>1872.0807739744414</v>
      </c>
      <c r="W1070" s="38">
        <f t="shared" si="535"/>
        <v>4789.5100334212539</v>
      </c>
      <c r="X1070" s="38">
        <f t="shared" si="535"/>
        <v>5047.5568270945432</v>
      </c>
      <c r="Y1070" s="38">
        <f t="shared" si="535"/>
        <v>4938.2130672466792</v>
      </c>
      <c r="Z1070" s="38">
        <f t="shared" si="535"/>
        <v>4576.8883863956826</v>
      </c>
      <c r="AA1070" s="38">
        <f t="shared" si="535"/>
        <v>5784.431396896739</v>
      </c>
      <c r="AB1070" s="38">
        <f t="shared" si="535"/>
        <v>0</v>
      </c>
      <c r="AC1070" s="38">
        <f t="shared" si="535"/>
        <v>0</v>
      </c>
      <c r="AD1070" s="38">
        <f t="shared" si="535"/>
        <v>0</v>
      </c>
      <c r="AE1070" s="38">
        <f t="shared" si="535"/>
        <v>0</v>
      </c>
      <c r="AF1070" s="38">
        <f t="shared" si="535"/>
        <v>0</v>
      </c>
    </row>
    <row r="1071" spans="2:32">
      <c r="B1071" t="str">
        <f t="shared" si="526"/>
        <v>Caja</v>
      </c>
      <c r="E1071" s="55"/>
      <c r="U1071" s="38">
        <f t="shared" ref="U1071:AF1071" si="536">+$D1054*G$621*(1+INFLACION)^($C1054-$G$4)</f>
        <v>0</v>
      </c>
      <c r="V1071" s="38">
        <f t="shared" si="536"/>
        <v>0</v>
      </c>
      <c r="W1071" s="38">
        <f t="shared" si="536"/>
        <v>0</v>
      </c>
      <c r="X1071" s="38">
        <f t="shared" si="536"/>
        <v>6240.2692465814707</v>
      </c>
      <c r="Y1071" s="38">
        <f t="shared" si="536"/>
        <v>6433.9745740103181</v>
      </c>
      <c r="Z1071" s="38">
        <f t="shared" si="536"/>
        <v>3973.1168811451298</v>
      </c>
      <c r="AA1071" s="38">
        <f t="shared" si="536"/>
        <v>10361.319783292418</v>
      </c>
      <c r="AB1071" s="38">
        <f t="shared" si="536"/>
        <v>0</v>
      </c>
      <c r="AC1071" s="38">
        <f t="shared" si="536"/>
        <v>0</v>
      </c>
      <c r="AD1071" s="38">
        <f t="shared" si="536"/>
        <v>0</v>
      </c>
      <c r="AE1071" s="38">
        <f t="shared" si="536"/>
        <v>0</v>
      </c>
      <c r="AF1071" s="38">
        <f t="shared" si="536"/>
        <v>0</v>
      </c>
    </row>
    <row r="1072" spans="2:32">
      <c r="E1072" s="55"/>
    </row>
    <row r="1073" spans="2:33">
      <c r="B1073" t="str">
        <f t="shared" si="526"/>
        <v>utilidad como inversionista</v>
      </c>
      <c r="E1073" s="55"/>
    </row>
    <row r="1074" spans="2:33">
      <c r="B1074" t="str">
        <f t="shared" si="526"/>
        <v>Ventas</v>
      </c>
      <c r="E1074" s="55"/>
      <c r="U1074" s="38">
        <f t="shared" ref="U1074:AF1074" si="537">+$D1054*G$624*(1+INFLACION)^($C1054-$G$4)*$E1054</f>
        <v>0</v>
      </c>
      <c r="V1074" s="38">
        <f t="shared" si="537"/>
        <v>936.04038698722013</v>
      </c>
      <c r="W1074" s="38">
        <f t="shared" si="537"/>
        <v>2424.8494139116415</v>
      </c>
      <c r="X1074" s="38">
        <f t="shared" si="537"/>
        <v>2884.3181869111686</v>
      </c>
      <c r="Y1074" s="38">
        <f t="shared" si="537"/>
        <v>3105.6301013656121</v>
      </c>
      <c r="Z1074" s="38">
        <f t="shared" si="537"/>
        <v>3080.0099483233284</v>
      </c>
      <c r="AA1074" s="38">
        <f t="shared" si="537"/>
        <v>4131.7367120691006</v>
      </c>
      <c r="AB1074" s="38">
        <f t="shared" si="537"/>
        <v>0</v>
      </c>
      <c r="AC1074" s="38">
        <f t="shared" si="537"/>
        <v>0</v>
      </c>
      <c r="AD1074" s="38">
        <f t="shared" si="537"/>
        <v>0</v>
      </c>
      <c r="AE1074" s="38">
        <f t="shared" si="537"/>
        <v>0</v>
      </c>
      <c r="AF1074" s="38">
        <f t="shared" si="537"/>
        <v>0</v>
      </c>
    </row>
    <row r="1075" spans="2:33">
      <c r="B1075" t="str">
        <f t="shared" si="526"/>
        <v>Caja</v>
      </c>
      <c r="E1075" s="55"/>
      <c r="U1075" s="38">
        <f t="shared" ref="U1075:AF1075" si="538">+$D1054*G$625*(1+INFLACION)^($C1054-$G$4)*$E1054</f>
        <v>0</v>
      </c>
      <c r="V1075" s="38">
        <f t="shared" si="538"/>
        <v>0</v>
      </c>
      <c r="W1075" s="38">
        <f t="shared" si="538"/>
        <v>0</v>
      </c>
      <c r="X1075" s="38">
        <f t="shared" si="538"/>
        <v>0</v>
      </c>
      <c r="Y1075" s="38">
        <f t="shared" si="538"/>
        <v>0</v>
      </c>
      <c r="Z1075" s="38">
        <f t="shared" si="538"/>
        <v>3676.5568994344662</v>
      </c>
      <c r="AA1075" s="38">
        <f t="shared" si="538"/>
        <v>7377.0455673748029</v>
      </c>
      <c r="AB1075" s="38">
        <f t="shared" si="538"/>
        <v>5508.9822827588014</v>
      </c>
      <c r="AC1075" s="38">
        <f t="shared" si="538"/>
        <v>0</v>
      </c>
      <c r="AD1075" s="38">
        <f t="shared" si="538"/>
        <v>0</v>
      </c>
      <c r="AE1075" s="38">
        <f t="shared" si="538"/>
        <v>0</v>
      </c>
      <c r="AF1075" s="38">
        <f t="shared" si="538"/>
        <v>0</v>
      </c>
    </row>
    <row r="1076" spans="2:33">
      <c r="E1076" s="55"/>
    </row>
    <row r="1077" spans="2:33">
      <c r="B1077" t="str">
        <f t="shared" si="526"/>
        <v>Inversiones en proyectos caja</v>
      </c>
      <c r="E1077" s="55"/>
      <c r="U1077" s="38">
        <f t="shared" ref="U1077:AF1077" si="539">$D1054*G$627*(1+INFLACION)^($C1054-$G$4)*$E1054</f>
        <v>9697.388106575705</v>
      </c>
      <c r="V1077" s="38">
        <f t="shared" si="539"/>
        <v>2770.6823161644875</v>
      </c>
      <c r="W1077" s="38">
        <f t="shared" si="539"/>
        <v>0</v>
      </c>
      <c r="X1077" s="38">
        <f t="shared" si="539"/>
        <v>0</v>
      </c>
      <c r="Y1077" s="38">
        <f t="shared" si="539"/>
        <v>0</v>
      </c>
      <c r="Z1077" s="38">
        <f t="shared" si="539"/>
        <v>0</v>
      </c>
      <c r="AA1077" s="38">
        <f t="shared" si="539"/>
        <v>0</v>
      </c>
      <c r="AB1077" s="38">
        <f t="shared" si="539"/>
        <v>0</v>
      </c>
      <c r="AC1077" s="38">
        <f t="shared" si="539"/>
        <v>0</v>
      </c>
      <c r="AD1077" s="38">
        <f t="shared" si="539"/>
        <v>0</v>
      </c>
      <c r="AE1077" s="38">
        <f t="shared" si="539"/>
        <v>0</v>
      </c>
      <c r="AF1077" s="38">
        <f t="shared" si="539"/>
        <v>0</v>
      </c>
    </row>
    <row r="1078" spans="2:33">
      <c r="B1078" t="str">
        <f t="shared" si="526"/>
        <v>DesInversiones en proyectos caja</v>
      </c>
      <c r="E1078" s="55"/>
      <c r="U1078" s="38">
        <f t="shared" ref="U1078:AF1078" si="540">+$D1054*G$628*(1+INFLACION)^($C1054-$G$4)*$E1054</f>
        <v>0</v>
      </c>
      <c r="V1078" s="38">
        <f t="shared" si="540"/>
        <v>0</v>
      </c>
      <c r="W1078" s="38">
        <f t="shared" si="540"/>
        <v>0</v>
      </c>
      <c r="X1078" s="38">
        <f t="shared" si="540"/>
        <v>0</v>
      </c>
      <c r="Y1078" s="38">
        <f t="shared" si="540"/>
        <v>9697.388106575705</v>
      </c>
      <c r="Z1078" s="38">
        <f t="shared" si="540"/>
        <v>2770.6823161644875</v>
      </c>
      <c r="AA1078" s="38">
        <f t="shared" si="540"/>
        <v>0</v>
      </c>
      <c r="AB1078" s="38">
        <f t="shared" si="540"/>
        <v>0</v>
      </c>
      <c r="AC1078" s="38">
        <f t="shared" si="540"/>
        <v>0</v>
      </c>
      <c r="AD1078" s="38">
        <f t="shared" si="540"/>
        <v>0</v>
      </c>
      <c r="AE1078" s="38">
        <f t="shared" si="540"/>
        <v>0</v>
      </c>
      <c r="AF1078" s="38">
        <f t="shared" si="540"/>
        <v>0</v>
      </c>
    </row>
    <row r="1079" spans="2:33">
      <c r="B1079" t="str">
        <f>+B1049</f>
        <v>Escrituración</v>
      </c>
      <c r="U1079" s="38">
        <f t="shared" ref="U1079:AF1079" si="541">+$D1054*G$629*(1+INFLACION)^($C1054-$G$4)</f>
        <v>0</v>
      </c>
      <c r="V1079" s="38">
        <f t="shared" si="541"/>
        <v>0</v>
      </c>
      <c r="W1079" s="38">
        <f t="shared" si="541"/>
        <v>0</v>
      </c>
      <c r="X1079" s="38">
        <f t="shared" si="541"/>
        <v>89508.514333509171</v>
      </c>
      <c r="Y1079" s="38">
        <f t="shared" si="541"/>
        <v>92286.964331662792</v>
      </c>
      <c r="Z1079" s="38">
        <f t="shared" si="541"/>
        <v>94981.95650759399</v>
      </c>
      <c r="AA1079" s="38">
        <f t="shared" si="541"/>
        <v>110626.82076503216</v>
      </c>
      <c r="AB1079" s="38">
        <f t="shared" si="541"/>
        <v>0</v>
      </c>
      <c r="AC1079" s="38">
        <f t="shared" si="541"/>
        <v>0</v>
      </c>
      <c r="AD1079" s="38">
        <f t="shared" si="541"/>
        <v>0</v>
      </c>
      <c r="AE1079" s="38">
        <f t="shared" si="541"/>
        <v>0</v>
      </c>
      <c r="AF1079" s="38">
        <f t="shared" si="541"/>
        <v>0</v>
      </c>
    </row>
    <row r="1080" spans="2:33">
      <c r="B1080" t="s">
        <v>359</v>
      </c>
      <c r="E1080" s="55"/>
      <c r="U1080" s="38">
        <f t="shared" ref="U1080:AF1080" si="542">+$D1054*G$630*(1+INFLACION)^($C1054-$G$4)</f>
        <v>0</v>
      </c>
      <c r="V1080" s="38">
        <f t="shared" si="542"/>
        <v>0</v>
      </c>
      <c r="W1080" s="38">
        <f t="shared" si="542"/>
        <v>0</v>
      </c>
      <c r="X1080" s="38">
        <f t="shared" si="542"/>
        <v>57945.357289685046</v>
      </c>
      <c r="Y1080" s="38">
        <f t="shared" si="542"/>
        <v>59744.049615810087</v>
      </c>
      <c r="Z1080" s="38">
        <f t="shared" si="542"/>
        <v>61488.713636769913</v>
      </c>
      <c r="AA1080" s="38">
        <f t="shared" si="542"/>
        <v>71616.769675864431</v>
      </c>
      <c r="AB1080" s="38">
        <f t="shared" si="542"/>
        <v>0</v>
      </c>
      <c r="AC1080" s="38">
        <f t="shared" si="542"/>
        <v>0</v>
      </c>
      <c r="AD1080" s="38">
        <f t="shared" si="542"/>
        <v>0</v>
      </c>
      <c r="AE1080" s="38">
        <f t="shared" si="542"/>
        <v>0</v>
      </c>
      <c r="AF1080" s="38">
        <f t="shared" si="542"/>
        <v>0</v>
      </c>
    </row>
    <row r="1081" spans="2:33">
      <c r="E1081" s="55"/>
    </row>
    <row r="1082" spans="2:33">
      <c r="E1082" s="55"/>
    </row>
    <row r="1083" spans="2:33">
      <c r="C1083" t="s">
        <v>615</v>
      </c>
      <c r="D1083" t="s">
        <v>616</v>
      </c>
      <c r="E1083" s="55" t="s">
        <v>617</v>
      </c>
    </row>
    <row r="1084" spans="2:33">
      <c r="B1084" t="s">
        <v>618</v>
      </c>
      <c r="C1084">
        <f>+C1054+1</f>
        <v>2034</v>
      </c>
      <c r="D1084">
        <f>+VLOOKUP(C1084,$B$545:$C$567,2,FALSE)</f>
        <v>4</v>
      </c>
      <c r="E1084" s="55">
        <f>+HLOOKUP('Proyectos Inmob detall'!C1084,Proyecciones!$G$56:$AG$57,2,FALSE)</f>
        <v>1</v>
      </c>
    </row>
    <row r="1085" spans="2:33">
      <c r="B1085" t="str">
        <f>+B1055</f>
        <v>Arquitectura</v>
      </c>
      <c r="E1085" s="55"/>
    </row>
    <row r="1086" spans="2:33">
      <c r="B1086" t="str">
        <f t="shared" ref="B1086:B1108" si="543">+B1056</f>
        <v>Ventas</v>
      </c>
      <c r="E1086" s="55"/>
      <c r="V1086" s="38">
        <f t="shared" ref="V1086:AG1086" si="544">+$D1084*G$606*(1+INFLACION)^($C1084-$G$4)</f>
        <v>0</v>
      </c>
      <c r="W1086" s="38">
        <f t="shared" si="544"/>
        <v>161.26424715148508</v>
      </c>
      <c r="X1086" s="38">
        <f t="shared" si="544"/>
        <v>412.57660486753525</v>
      </c>
      <c r="Y1086" s="38">
        <f t="shared" si="544"/>
        <v>434.80519804048487</v>
      </c>
      <c r="Z1086" s="38">
        <f t="shared" si="544"/>
        <v>425.38613912074425</v>
      </c>
      <c r="AA1086" s="38">
        <f t="shared" si="544"/>
        <v>394.26101169849977</v>
      </c>
      <c r="AB1086" s="38">
        <f t="shared" si="544"/>
        <v>498.28083669679444</v>
      </c>
      <c r="AC1086" s="38">
        <f t="shared" si="544"/>
        <v>0</v>
      </c>
      <c r="AD1086" s="38">
        <f t="shared" si="544"/>
        <v>0</v>
      </c>
      <c r="AE1086" s="38">
        <f t="shared" si="544"/>
        <v>0</v>
      </c>
      <c r="AF1086" s="38">
        <f t="shared" si="544"/>
        <v>0</v>
      </c>
      <c r="AG1086" s="38">
        <f t="shared" si="544"/>
        <v>0</v>
      </c>
    </row>
    <row r="1087" spans="2:33">
      <c r="B1087" t="str">
        <f t="shared" si="543"/>
        <v>Caja</v>
      </c>
      <c r="E1087" s="55"/>
      <c r="V1087" s="38">
        <f t="shared" ref="V1087:AG1087" si="545">+$D1084*G$607*(1+INFLACION)^($C1084-$G$4)</f>
        <v>0</v>
      </c>
      <c r="W1087" s="38">
        <f t="shared" si="545"/>
        <v>0</v>
      </c>
      <c r="X1087" s="38">
        <f t="shared" si="545"/>
        <v>537.54749050495025</v>
      </c>
      <c r="Y1087" s="38">
        <f t="shared" si="545"/>
        <v>0</v>
      </c>
      <c r="Z1087" s="38">
        <f t="shared" si="545"/>
        <v>554.2335994759469</v>
      </c>
      <c r="AA1087" s="38">
        <f t="shared" si="545"/>
        <v>570.41849866558709</v>
      </c>
      <c r="AB1087" s="38">
        <f t="shared" si="545"/>
        <v>664.3744489290591</v>
      </c>
      <c r="AC1087" s="38">
        <f t="shared" si="545"/>
        <v>0</v>
      </c>
      <c r="AD1087" s="38">
        <f t="shared" si="545"/>
        <v>0</v>
      </c>
      <c r="AE1087" s="38">
        <f t="shared" si="545"/>
        <v>0</v>
      </c>
      <c r="AF1087" s="38">
        <f t="shared" si="545"/>
        <v>0</v>
      </c>
      <c r="AG1087" s="38">
        <f t="shared" si="545"/>
        <v>0</v>
      </c>
    </row>
    <row r="1088" spans="2:33">
      <c r="E1088" s="55"/>
    </row>
    <row r="1089" spans="2:33">
      <c r="B1089" t="str">
        <f t="shared" si="543"/>
        <v>Preconstrucción</v>
      </c>
      <c r="E1089" s="55"/>
    </row>
    <row r="1090" spans="2:33">
      <c r="B1090" t="str">
        <f t="shared" si="543"/>
        <v>Ventas</v>
      </c>
      <c r="E1090" s="55"/>
      <c r="V1090" s="38">
        <f t="shared" ref="V1090:AG1090" si="546">$D1084*G$610*(1+INFLACION)^($C1084-$G$4)</f>
        <v>0</v>
      </c>
      <c r="W1090" s="38">
        <f t="shared" si="546"/>
        <v>64.505698860594023</v>
      </c>
      <c r="X1090" s="38">
        <f t="shared" si="546"/>
        <v>165.03064194701406</v>
      </c>
      <c r="Y1090" s="38">
        <f t="shared" si="546"/>
        <v>173.92207921619388</v>
      </c>
      <c r="Z1090" s="38">
        <f t="shared" si="546"/>
        <v>170.15445564829764</v>
      </c>
      <c r="AA1090" s="38">
        <f t="shared" si="546"/>
        <v>157.70440467939991</v>
      </c>
      <c r="AB1090" s="38">
        <f t="shared" si="546"/>
        <v>199.31233467871769</v>
      </c>
      <c r="AC1090" s="38">
        <f t="shared" si="546"/>
        <v>0</v>
      </c>
      <c r="AD1090" s="38">
        <f t="shared" si="546"/>
        <v>0</v>
      </c>
      <c r="AE1090" s="38">
        <f t="shared" si="546"/>
        <v>0</v>
      </c>
      <c r="AF1090" s="38">
        <f t="shared" si="546"/>
        <v>0</v>
      </c>
      <c r="AG1090" s="38">
        <f t="shared" si="546"/>
        <v>0</v>
      </c>
    </row>
    <row r="1091" spans="2:33">
      <c r="B1091" t="str">
        <f t="shared" si="543"/>
        <v>Caja</v>
      </c>
      <c r="E1091" s="55"/>
      <c r="V1091" s="38">
        <f t="shared" ref="V1091:AG1091" si="547">+$D1084*G$611*(1+INFLACION)^($C1084-$G$4)</f>
        <v>0</v>
      </c>
      <c r="W1091" s="38">
        <f t="shared" si="547"/>
        <v>0</v>
      </c>
      <c r="X1091" s="38">
        <f t="shared" si="547"/>
        <v>215.01899620198009</v>
      </c>
      <c r="Y1091" s="38">
        <f t="shared" si="547"/>
        <v>0</v>
      </c>
      <c r="Z1091" s="38">
        <f t="shared" si="547"/>
        <v>221.69343979037879</v>
      </c>
      <c r="AA1091" s="38">
        <f t="shared" si="547"/>
        <v>228.1673994662348</v>
      </c>
      <c r="AB1091" s="38">
        <f t="shared" si="547"/>
        <v>265.74977957162361</v>
      </c>
      <c r="AC1091" s="38">
        <f t="shared" si="547"/>
        <v>0</v>
      </c>
      <c r="AD1091" s="38">
        <f t="shared" si="547"/>
        <v>0</v>
      </c>
      <c r="AE1091" s="38">
        <f t="shared" si="547"/>
        <v>0</v>
      </c>
      <c r="AF1091" s="38">
        <f t="shared" si="547"/>
        <v>0</v>
      </c>
      <c r="AG1091" s="38">
        <f t="shared" si="547"/>
        <v>0</v>
      </c>
    </row>
    <row r="1092" spans="2:33">
      <c r="E1092" s="55"/>
    </row>
    <row r="1093" spans="2:33">
      <c r="B1093" t="str">
        <f t="shared" si="543"/>
        <v>Construccion</v>
      </c>
      <c r="E1093" s="55"/>
    </row>
    <row r="1094" spans="2:33">
      <c r="B1094" t="str">
        <f t="shared" si="543"/>
        <v>Ventas</v>
      </c>
      <c r="E1094" s="55"/>
      <c r="V1094" s="38">
        <f t="shared" ref="V1094:AG1094" si="548">+$D1084*G$614*(1+INFLACION)^($C1084-$G$4)</f>
        <v>0</v>
      </c>
      <c r="W1094" s="38">
        <f t="shared" si="548"/>
        <v>17255.274445208899</v>
      </c>
      <c r="X1094" s="38">
        <f t="shared" si="548"/>
        <v>44145.696720826272</v>
      </c>
      <c r="Y1094" s="38">
        <f t="shared" si="548"/>
        <v>46524.156190331872</v>
      </c>
      <c r="Z1094" s="38">
        <f t="shared" si="548"/>
        <v>45516.316885919645</v>
      </c>
      <c r="AA1094" s="38">
        <f t="shared" si="548"/>
        <v>42185.92825173946</v>
      </c>
      <c r="AB1094" s="38">
        <f t="shared" si="548"/>
        <v>53316.049526556955</v>
      </c>
      <c r="AC1094" s="38">
        <f t="shared" si="548"/>
        <v>0</v>
      </c>
      <c r="AD1094" s="38">
        <f t="shared" si="548"/>
        <v>0</v>
      </c>
      <c r="AE1094" s="38">
        <f t="shared" si="548"/>
        <v>0</v>
      </c>
      <c r="AF1094" s="38">
        <f t="shared" si="548"/>
        <v>0</v>
      </c>
      <c r="AG1094" s="38">
        <f t="shared" si="548"/>
        <v>0</v>
      </c>
    </row>
    <row r="1095" spans="2:33">
      <c r="B1095" t="str">
        <f t="shared" si="543"/>
        <v>Utilidad</v>
      </c>
      <c r="E1095" s="55"/>
      <c r="V1095" s="38">
        <f t="shared" ref="V1095:AG1095" si="549">+$D1084*G$615*(1+INFLACION)^($C1084-$G$4)</f>
        <v>0</v>
      </c>
      <c r="W1095" s="38">
        <f t="shared" si="549"/>
        <v>1128.8497300603954</v>
      </c>
      <c r="X1095" s="38">
        <f t="shared" si="549"/>
        <v>2888.0362340727438</v>
      </c>
      <c r="Y1095" s="38">
        <f t="shared" si="549"/>
        <v>3043.6363862833923</v>
      </c>
      <c r="Z1095" s="38">
        <f t="shared" si="549"/>
        <v>2977.7029738452093</v>
      </c>
      <c r="AA1095" s="38">
        <f t="shared" si="549"/>
        <v>2759.8270818894898</v>
      </c>
      <c r="AB1095" s="38">
        <f t="shared" si="549"/>
        <v>3487.9658568775667</v>
      </c>
      <c r="AC1095" s="38">
        <f t="shared" si="549"/>
        <v>0</v>
      </c>
      <c r="AD1095" s="38">
        <f t="shared" si="549"/>
        <v>0</v>
      </c>
      <c r="AE1095" s="38">
        <f t="shared" si="549"/>
        <v>0</v>
      </c>
      <c r="AF1095" s="38">
        <f t="shared" si="549"/>
        <v>0</v>
      </c>
      <c r="AG1095" s="38">
        <f t="shared" si="549"/>
        <v>0</v>
      </c>
    </row>
    <row r="1096" spans="2:33">
      <c r="B1096" t="str">
        <f t="shared" si="543"/>
        <v>Caja</v>
      </c>
      <c r="E1096" s="55"/>
      <c r="V1096" s="38">
        <f t="shared" ref="V1096:AG1096" si="550">+$D1084*G$616*(1+INFLACION)^($C1084-$G$4)</f>
        <v>0</v>
      </c>
      <c r="W1096" s="38">
        <f t="shared" si="550"/>
        <v>0</v>
      </c>
      <c r="X1096" s="38">
        <f t="shared" si="550"/>
        <v>0</v>
      </c>
      <c r="Y1096" s="38">
        <f t="shared" si="550"/>
        <v>3762.8324335346492</v>
      </c>
      <c r="Z1096" s="38">
        <f t="shared" si="550"/>
        <v>3879.6351963316247</v>
      </c>
      <c r="AA1096" s="38">
        <f t="shared" si="550"/>
        <v>2395.7576943954673</v>
      </c>
      <c r="AB1096" s="38">
        <f t="shared" si="550"/>
        <v>6247.7929387670492</v>
      </c>
      <c r="AC1096" s="38">
        <f t="shared" si="550"/>
        <v>0</v>
      </c>
      <c r="AD1096" s="38">
        <f t="shared" si="550"/>
        <v>0</v>
      </c>
      <c r="AE1096" s="38">
        <f t="shared" si="550"/>
        <v>0</v>
      </c>
      <c r="AF1096" s="38">
        <f t="shared" si="550"/>
        <v>0</v>
      </c>
      <c r="AG1096" s="38">
        <f t="shared" si="550"/>
        <v>0</v>
      </c>
    </row>
    <row r="1097" spans="2:33">
      <c r="E1097" s="55"/>
    </row>
    <row r="1098" spans="2:33">
      <c r="B1098" t="str">
        <f t="shared" si="543"/>
        <v>Inmobiliario</v>
      </c>
      <c r="E1098" s="55"/>
    </row>
    <row r="1099" spans="2:33">
      <c r="B1099" t="str">
        <f t="shared" si="543"/>
        <v>Ventas</v>
      </c>
      <c r="E1099" s="55"/>
      <c r="V1099" s="38">
        <f t="shared" ref="V1099:AG1099" si="551">+$D1084*G$619*(1+INFLACION)^($C1084-$G$4)</f>
        <v>0</v>
      </c>
      <c r="W1099" s="38">
        <f t="shared" si="551"/>
        <v>9472.1300783671704</v>
      </c>
      <c r="X1099" s="38">
        <f t="shared" si="551"/>
        <v>24202.091047556925</v>
      </c>
      <c r="Y1099" s="38">
        <f t="shared" si="551"/>
        <v>25164.062116342549</v>
      </c>
      <c r="Z1099" s="38">
        <f t="shared" si="551"/>
        <v>24323.794510369149</v>
      </c>
      <c r="AA1099" s="38">
        <f t="shared" si="551"/>
        <v>22334.363291693855</v>
      </c>
      <c r="AB1099" s="38">
        <f t="shared" si="551"/>
        <v>27978.271318240691</v>
      </c>
      <c r="AC1099" s="38">
        <f t="shared" si="551"/>
        <v>0</v>
      </c>
      <c r="AD1099" s="38">
        <f t="shared" si="551"/>
        <v>0</v>
      </c>
      <c r="AE1099" s="38">
        <f t="shared" si="551"/>
        <v>0</v>
      </c>
      <c r="AF1099" s="38">
        <f t="shared" si="551"/>
        <v>0</v>
      </c>
      <c r="AG1099" s="38">
        <f t="shared" si="551"/>
        <v>0</v>
      </c>
    </row>
    <row r="1100" spans="2:33">
      <c r="B1100" t="str">
        <f t="shared" si="543"/>
        <v>Utilidad</v>
      </c>
      <c r="E1100" s="55"/>
      <c r="V1100" s="38">
        <f t="shared" ref="V1100:AG1100" si="552">$D1084*G$620*(1+INFLACION)^($C1084-$G$4)</f>
        <v>0</v>
      </c>
      <c r="W1100" s="38">
        <f t="shared" si="552"/>
        <v>1946.9640049334191</v>
      </c>
      <c r="X1100" s="38">
        <f t="shared" si="552"/>
        <v>4981.0904347581036</v>
      </c>
      <c r="Y1100" s="38">
        <f t="shared" si="552"/>
        <v>5249.4591001783256</v>
      </c>
      <c r="Z1100" s="38">
        <f t="shared" si="552"/>
        <v>5135.741589936546</v>
      </c>
      <c r="AA1100" s="38">
        <f t="shared" si="552"/>
        <v>4759.9639218515103</v>
      </c>
      <c r="AB1100" s="38">
        <f t="shared" si="552"/>
        <v>6015.8086527726082</v>
      </c>
      <c r="AC1100" s="38">
        <f t="shared" si="552"/>
        <v>0</v>
      </c>
      <c r="AD1100" s="38">
        <f t="shared" si="552"/>
        <v>0</v>
      </c>
      <c r="AE1100" s="38">
        <f t="shared" si="552"/>
        <v>0</v>
      </c>
      <c r="AF1100" s="38">
        <f t="shared" si="552"/>
        <v>0</v>
      </c>
      <c r="AG1100" s="38">
        <f t="shared" si="552"/>
        <v>0</v>
      </c>
    </row>
    <row r="1101" spans="2:33">
      <c r="B1101" t="str">
        <f t="shared" si="543"/>
        <v>Caja</v>
      </c>
      <c r="E1101" s="55"/>
      <c r="V1101" s="38">
        <f t="shared" ref="V1101:AG1101" si="553">+$D1084*G$621*(1+INFLACION)^($C1084-$G$4)</f>
        <v>0</v>
      </c>
      <c r="W1101" s="38">
        <f t="shared" si="553"/>
        <v>0</v>
      </c>
      <c r="X1101" s="38">
        <f t="shared" si="553"/>
        <v>0</v>
      </c>
      <c r="Y1101" s="38">
        <f t="shared" si="553"/>
        <v>6489.8800164447293</v>
      </c>
      <c r="Z1101" s="38">
        <f t="shared" si="553"/>
        <v>6691.3335569707306</v>
      </c>
      <c r="AA1101" s="38">
        <f t="shared" si="553"/>
        <v>4132.0415563909346</v>
      </c>
      <c r="AB1101" s="38">
        <f t="shared" si="553"/>
        <v>10775.772574624116</v>
      </c>
      <c r="AC1101" s="38">
        <f t="shared" si="553"/>
        <v>0</v>
      </c>
      <c r="AD1101" s="38">
        <f t="shared" si="553"/>
        <v>0</v>
      </c>
      <c r="AE1101" s="38">
        <f t="shared" si="553"/>
        <v>0</v>
      </c>
      <c r="AF1101" s="38">
        <f t="shared" si="553"/>
        <v>0</v>
      </c>
      <c r="AG1101" s="38">
        <f t="shared" si="553"/>
        <v>0</v>
      </c>
    </row>
    <row r="1102" spans="2:33">
      <c r="E1102" s="55"/>
    </row>
    <row r="1103" spans="2:33">
      <c r="B1103" t="str">
        <f t="shared" si="543"/>
        <v>utilidad como inversionista</v>
      </c>
      <c r="E1103" s="55"/>
    </row>
    <row r="1104" spans="2:33">
      <c r="B1104" t="str">
        <f t="shared" si="543"/>
        <v>Ventas</v>
      </c>
      <c r="E1104" s="55"/>
      <c r="V1104" s="38">
        <f t="shared" ref="V1104:AG1104" si="554">+$D1084*G$624*(1+INFLACION)^($C1084-$G$4)*$E1084</f>
        <v>0</v>
      </c>
      <c r="W1104" s="38">
        <f t="shared" si="554"/>
        <v>973.48200246670888</v>
      </c>
      <c r="X1104" s="38">
        <f t="shared" si="554"/>
        <v>2521.8433904681074</v>
      </c>
      <c r="Y1104" s="38">
        <f t="shared" si="554"/>
        <v>2999.6909143876155</v>
      </c>
      <c r="Z1104" s="38">
        <f t="shared" si="554"/>
        <v>3229.8553054202366</v>
      </c>
      <c r="AA1104" s="38">
        <f t="shared" si="554"/>
        <v>3203.2103462562618</v>
      </c>
      <c r="AB1104" s="38">
        <f t="shared" si="554"/>
        <v>4297.0061805518644</v>
      </c>
      <c r="AC1104" s="38">
        <f t="shared" si="554"/>
        <v>0</v>
      </c>
      <c r="AD1104" s="38">
        <f t="shared" si="554"/>
        <v>0</v>
      </c>
      <c r="AE1104" s="38">
        <f t="shared" si="554"/>
        <v>0</v>
      </c>
      <c r="AF1104" s="38">
        <f t="shared" si="554"/>
        <v>0</v>
      </c>
      <c r="AG1104" s="38">
        <f t="shared" si="554"/>
        <v>0</v>
      </c>
    </row>
    <row r="1105" spans="2:34">
      <c r="B1105" t="str">
        <f t="shared" si="543"/>
        <v>Caja</v>
      </c>
      <c r="E1105" s="55"/>
      <c r="V1105" s="38">
        <f t="shared" ref="V1105:AG1105" si="555">+$D1084*G$625*(1+INFLACION)^($C1084-$G$4)*$E1084</f>
        <v>0</v>
      </c>
      <c r="W1105" s="38">
        <f t="shared" si="555"/>
        <v>0</v>
      </c>
      <c r="X1105" s="38">
        <f t="shared" si="555"/>
        <v>0</v>
      </c>
      <c r="Y1105" s="38">
        <f t="shared" si="555"/>
        <v>0</v>
      </c>
      <c r="Z1105" s="38">
        <f t="shared" si="555"/>
        <v>0</v>
      </c>
      <c r="AA1105" s="38">
        <f t="shared" si="555"/>
        <v>3823.6191754118449</v>
      </c>
      <c r="AB1105" s="38">
        <f t="shared" si="555"/>
        <v>7672.1273900697952</v>
      </c>
      <c r="AC1105" s="38">
        <f t="shared" si="555"/>
        <v>5729.3415740691535</v>
      </c>
      <c r="AD1105" s="38">
        <f t="shared" si="555"/>
        <v>0</v>
      </c>
      <c r="AE1105" s="38">
        <f t="shared" si="555"/>
        <v>0</v>
      </c>
      <c r="AF1105" s="38">
        <f t="shared" si="555"/>
        <v>0</v>
      </c>
      <c r="AG1105" s="38">
        <f t="shared" si="555"/>
        <v>0</v>
      </c>
    </row>
    <row r="1106" spans="2:34">
      <c r="E1106" s="55"/>
    </row>
    <row r="1107" spans="2:34">
      <c r="B1107" t="str">
        <f t="shared" si="543"/>
        <v>Inversiones en proyectos caja</v>
      </c>
      <c r="E1107" s="55"/>
      <c r="V1107" s="38">
        <f t="shared" ref="V1107:AG1107" si="556">$D1084*G$627*(1+INFLACION)^($C1084-$G$4)*$E1084</f>
        <v>10085.283630838734</v>
      </c>
      <c r="W1107" s="38">
        <f t="shared" si="556"/>
        <v>2881.5096088110668</v>
      </c>
      <c r="X1107" s="38">
        <f t="shared" si="556"/>
        <v>0</v>
      </c>
      <c r="Y1107" s="38">
        <f t="shared" si="556"/>
        <v>0</v>
      </c>
      <c r="Z1107" s="38">
        <f t="shared" si="556"/>
        <v>0</v>
      </c>
      <c r="AA1107" s="38">
        <f t="shared" si="556"/>
        <v>0</v>
      </c>
      <c r="AB1107" s="38">
        <f t="shared" si="556"/>
        <v>0</v>
      </c>
      <c r="AC1107" s="38">
        <f t="shared" si="556"/>
        <v>0</v>
      </c>
      <c r="AD1107" s="38">
        <f t="shared" si="556"/>
        <v>0</v>
      </c>
      <c r="AE1107" s="38">
        <f t="shared" si="556"/>
        <v>0</v>
      </c>
      <c r="AF1107" s="38">
        <f t="shared" si="556"/>
        <v>0</v>
      </c>
      <c r="AG1107" s="38">
        <f t="shared" si="556"/>
        <v>0</v>
      </c>
    </row>
    <row r="1108" spans="2:34">
      <c r="B1108" t="str">
        <f t="shared" si="543"/>
        <v>DesInversiones en proyectos caja</v>
      </c>
      <c r="E1108" s="55"/>
      <c r="V1108" s="38">
        <f t="shared" ref="V1108:AG1108" si="557">+$D1084*G$628*(1+INFLACION)^($C1084-$G$4)*$E1084</f>
        <v>0</v>
      </c>
      <c r="W1108" s="38">
        <f t="shared" si="557"/>
        <v>0</v>
      </c>
      <c r="X1108" s="38">
        <f t="shared" si="557"/>
        <v>0</v>
      </c>
      <c r="Y1108" s="38">
        <f t="shared" si="557"/>
        <v>0</v>
      </c>
      <c r="Z1108" s="38">
        <f t="shared" si="557"/>
        <v>10085.283630838734</v>
      </c>
      <c r="AA1108" s="38">
        <f t="shared" si="557"/>
        <v>2881.5096088110668</v>
      </c>
      <c r="AB1108" s="38">
        <f t="shared" si="557"/>
        <v>0</v>
      </c>
      <c r="AC1108" s="38">
        <f t="shared" si="557"/>
        <v>0</v>
      </c>
      <c r="AD1108" s="38">
        <f t="shared" si="557"/>
        <v>0</v>
      </c>
      <c r="AE1108" s="38">
        <f t="shared" si="557"/>
        <v>0</v>
      </c>
      <c r="AF1108" s="38">
        <f t="shared" si="557"/>
        <v>0</v>
      </c>
      <c r="AG1108" s="38">
        <f t="shared" si="557"/>
        <v>0</v>
      </c>
    </row>
    <row r="1109" spans="2:34">
      <c r="B1109" t="str">
        <f>+B1079</f>
        <v>Escrituración</v>
      </c>
      <c r="V1109" s="38">
        <f t="shared" ref="V1109:AG1109" si="558">+$D1084*G$629*(1+INFLACION)^($C1084-$G$4)</f>
        <v>0</v>
      </c>
      <c r="W1109" s="38">
        <f t="shared" si="558"/>
        <v>0</v>
      </c>
      <c r="X1109" s="38">
        <f t="shared" si="558"/>
        <v>0</v>
      </c>
      <c r="Y1109" s="38">
        <f t="shared" si="558"/>
        <v>93088.854906849534</v>
      </c>
      <c r="Z1109" s="38">
        <f t="shared" si="558"/>
        <v>95978.442904929296</v>
      </c>
      <c r="AA1109" s="38">
        <f t="shared" si="558"/>
        <v>98781.234767897738</v>
      </c>
      <c r="AB1109" s="38">
        <f t="shared" si="558"/>
        <v>115051.89359563343</v>
      </c>
      <c r="AC1109" s="38">
        <f t="shared" si="558"/>
        <v>0</v>
      </c>
      <c r="AD1109" s="38">
        <f t="shared" si="558"/>
        <v>0</v>
      </c>
      <c r="AE1109" s="38">
        <f t="shared" si="558"/>
        <v>0</v>
      </c>
      <c r="AF1109" s="38">
        <f t="shared" si="558"/>
        <v>0</v>
      </c>
      <c r="AG1109" s="38">
        <f t="shared" si="558"/>
        <v>0</v>
      </c>
    </row>
    <row r="1110" spans="2:34">
      <c r="B1110" t="s">
        <v>359</v>
      </c>
      <c r="E1110" s="55"/>
      <c r="V1110" s="38">
        <f t="shared" ref="V1110:AG1110" si="559">+$D1084*G$630*(1+INFLACION)^($C1084-$G$4)</f>
        <v>0</v>
      </c>
      <c r="W1110" s="38">
        <f t="shared" si="559"/>
        <v>0</v>
      </c>
      <c r="X1110" s="38">
        <f t="shared" si="559"/>
        <v>0</v>
      </c>
      <c r="Y1110" s="38">
        <f t="shared" si="559"/>
        <v>60263.171581272451</v>
      </c>
      <c r="Z1110" s="38">
        <f t="shared" si="559"/>
        <v>62133.811600442488</v>
      </c>
      <c r="AA1110" s="38">
        <f t="shared" si="559"/>
        <v>63948.262182240709</v>
      </c>
      <c r="AB1110" s="38">
        <f t="shared" si="559"/>
        <v>74481.440462899001</v>
      </c>
      <c r="AC1110" s="38">
        <f t="shared" si="559"/>
        <v>0</v>
      </c>
      <c r="AD1110" s="38">
        <f t="shared" si="559"/>
        <v>0</v>
      </c>
      <c r="AE1110" s="38">
        <f t="shared" si="559"/>
        <v>0</v>
      </c>
      <c r="AF1110" s="38">
        <f t="shared" si="559"/>
        <v>0</v>
      </c>
      <c r="AG1110" s="38">
        <f t="shared" si="559"/>
        <v>0</v>
      </c>
    </row>
    <row r="1111" spans="2:34">
      <c r="E1111" s="55"/>
    </row>
    <row r="1112" spans="2:34">
      <c r="E1112" s="55"/>
    </row>
    <row r="1113" spans="2:34">
      <c r="C1113" t="s">
        <v>615</v>
      </c>
      <c r="D1113" t="s">
        <v>616</v>
      </c>
      <c r="E1113" s="55" t="s">
        <v>617</v>
      </c>
    </row>
    <row r="1114" spans="2:34">
      <c r="B1114" t="s">
        <v>618</v>
      </c>
      <c r="C1114">
        <f>+C1084+1</f>
        <v>2035</v>
      </c>
      <c r="D1114">
        <f>+VLOOKUP(C1114,$B$545:$C$567,2,FALSE)</f>
        <v>4</v>
      </c>
      <c r="E1114" s="55">
        <f>+HLOOKUP('Proyectos Inmob detall'!C1114,Proyecciones!$G$56:$AG$57,2,FALSE)</f>
        <v>1</v>
      </c>
    </row>
    <row r="1115" spans="2:34">
      <c r="B1115" t="str">
        <f>+B1085</f>
        <v>Arquitectura</v>
      </c>
      <c r="E1115" s="55"/>
    </row>
    <row r="1116" spans="2:34">
      <c r="B1116" t="str">
        <f t="shared" ref="B1116:B1138" si="560">+B1086</f>
        <v>Ventas</v>
      </c>
      <c r="E1116" s="55"/>
      <c r="W1116" s="38">
        <f t="shared" ref="W1116:AH1116" si="561">+$D1114*G$606*(1+INFLACION)^($C1114-$G$4)</f>
        <v>0</v>
      </c>
      <c r="X1116" s="38">
        <f t="shared" si="561"/>
        <v>167.71481703754452</v>
      </c>
      <c r="Y1116" s="38">
        <f t="shared" si="561"/>
        <v>429.07966906223675</v>
      </c>
      <c r="Z1116" s="38">
        <f t="shared" si="561"/>
        <v>452.19740596210431</v>
      </c>
      <c r="AA1116" s="38">
        <f t="shared" si="561"/>
        <v>442.40158468557411</v>
      </c>
      <c r="AB1116" s="38">
        <f t="shared" si="561"/>
        <v>410.03145216643981</v>
      </c>
      <c r="AC1116" s="38">
        <f t="shared" si="561"/>
        <v>518.21207016466633</v>
      </c>
      <c r="AD1116" s="38">
        <f t="shared" si="561"/>
        <v>0</v>
      </c>
      <c r="AE1116" s="38">
        <f t="shared" si="561"/>
        <v>0</v>
      </c>
      <c r="AF1116" s="38">
        <f t="shared" si="561"/>
        <v>0</v>
      </c>
      <c r="AG1116" s="38">
        <f t="shared" si="561"/>
        <v>0</v>
      </c>
      <c r="AH1116" s="38">
        <f t="shared" si="561"/>
        <v>0</v>
      </c>
    </row>
    <row r="1117" spans="2:34">
      <c r="B1117" t="str">
        <f t="shared" si="560"/>
        <v>Caja</v>
      </c>
      <c r="E1117" s="55"/>
      <c r="W1117" s="38">
        <f t="shared" ref="W1117:AH1117" si="562">+$D1114*G$607*(1+INFLACION)^($C1114-$G$4)</f>
        <v>0</v>
      </c>
      <c r="X1117" s="38">
        <f t="shared" si="562"/>
        <v>0</v>
      </c>
      <c r="Y1117" s="38">
        <f t="shared" si="562"/>
        <v>559.04939012514831</v>
      </c>
      <c r="Z1117" s="38">
        <f t="shared" si="562"/>
        <v>0</v>
      </c>
      <c r="AA1117" s="38">
        <f t="shared" si="562"/>
        <v>576.40294345498489</v>
      </c>
      <c r="AB1117" s="38">
        <f t="shared" si="562"/>
        <v>593.23523861221065</v>
      </c>
      <c r="AC1117" s="38">
        <f t="shared" si="562"/>
        <v>690.94942688622154</v>
      </c>
      <c r="AD1117" s="38">
        <f t="shared" si="562"/>
        <v>0</v>
      </c>
      <c r="AE1117" s="38">
        <f t="shared" si="562"/>
        <v>0</v>
      </c>
      <c r="AF1117" s="38">
        <f t="shared" si="562"/>
        <v>0</v>
      </c>
      <c r="AG1117" s="38">
        <f t="shared" si="562"/>
        <v>0</v>
      </c>
      <c r="AH1117" s="38">
        <f t="shared" si="562"/>
        <v>0</v>
      </c>
    </row>
    <row r="1118" spans="2:34">
      <c r="E1118" s="55"/>
    </row>
    <row r="1119" spans="2:34">
      <c r="B1119" t="str">
        <f t="shared" si="560"/>
        <v>Preconstrucción</v>
      </c>
      <c r="E1119" s="55"/>
    </row>
    <row r="1120" spans="2:34">
      <c r="B1120" t="str">
        <f t="shared" si="560"/>
        <v>Ventas</v>
      </c>
      <c r="E1120" s="55"/>
      <c r="W1120" s="38">
        <f t="shared" ref="W1120:AH1120" si="563">$D1114*G$610*(1+INFLACION)^($C1114-$G$4)</f>
        <v>0</v>
      </c>
      <c r="X1120" s="38">
        <f t="shared" si="563"/>
        <v>67.0859268150178</v>
      </c>
      <c r="Y1120" s="38">
        <f t="shared" si="563"/>
        <v>171.63186762489465</v>
      </c>
      <c r="Z1120" s="38">
        <f t="shared" si="563"/>
        <v>180.87896238484166</v>
      </c>
      <c r="AA1120" s="38">
        <f t="shared" si="563"/>
        <v>176.96063387422956</v>
      </c>
      <c r="AB1120" s="38">
        <f t="shared" si="563"/>
        <v>164.01258086657595</v>
      </c>
      <c r="AC1120" s="38">
        <f t="shared" si="563"/>
        <v>207.28482806586644</v>
      </c>
      <c r="AD1120" s="38">
        <f t="shared" si="563"/>
        <v>0</v>
      </c>
      <c r="AE1120" s="38">
        <f t="shared" si="563"/>
        <v>0</v>
      </c>
      <c r="AF1120" s="38">
        <f t="shared" si="563"/>
        <v>0</v>
      </c>
      <c r="AG1120" s="38">
        <f t="shared" si="563"/>
        <v>0</v>
      </c>
      <c r="AH1120" s="38">
        <f t="shared" si="563"/>
        <v>0</v>
      </c>
    </row>
    <row r="1121" spans="2:34">
      <c r="B1121" t="str">
        <f t="shared" si="560"/>
        <v>Caja</v>
      </c>
      <c r="E1121" s="55"/>
      <c r="W1121" s="38">
        <f t="shared" ref="W1121:AH1121" si="564">+$D1114*G$611*(1+INFLACION)^($C1114-$G$4)</f>
        <v>0</v>
      </c>
      <c r="X1121" s="38">
        <f t="shared" si="564"/>
        <v>0</v>
      </c>
      <c r="Y1121" s="38">
        <f t="shared" si="564"/>
        <v>223.61975605005932</v>
      </c>
      <c r="Z1121" s="38">
        <f t="shared" si="564"/>
        <v>0</v>
      </c>
      <c r="AA1121" s="38">
        <f t="shared" si="564"/>
        <v>230.56117738199396</v>
      </c>
      <c r="AB1121" s="38">
        <f t="shared" si="564"/>
        <v>237.29409544488425</v>
      </c>
      <c r="AC1121" s="38">
        <f t="shared" si="564"/>
        <v>276.37977075448862</v>
      </c>
      <c r="AD1121" s="38">
        <f t="shared" si="564"/>
        <v>0</v>
      </c>
      <c r="AE1121" s="38">
        <f t="shared" si="564"/>
        <v>0</v>
      </c>
      <c r="AF1121" s="38">
        <f t="shared" si="564"/>
        <v>0</v>
      </c>
      <c r="AG1121" s="38">
        <f t="shared" si="564"/>
        <v>0</v>
      </c>
      <c r="AH1121" s="38">
        <f t="shared" si="564"/>
        <v>0</v>
      </c>
    </row>
    <row r="1122" spans="2:34">
      <c r="E1122" s="55"/>
    </row>
    <row r="1123" spans="2:34">
      <c r="B1123" t="str">
        <f t="shared" si="560"/>
        <v>Construccion</v>
      </c>
      <c r="E1123" s="55"/>
    </row>
    <row r="1124" spans="2:34">
      <c r="B1124" t="str">
        <f t="shared" si="560"/>
        <v>Ventas</v>
      </c>
      <c r="E1124" s="55"/>
      <c r="W1124" s="38">
        <f t="shared" ref="W1124:AH1124" si="565">+$D1114*G$614*(1+INFLACION)^($C1114-$G$4)</f>
        <v>0</v>
      </c>
      <c r="X1124" s="38">
        <f t="shared" si="565"/>
        <v>17945.48542301726</v>
      </c>
      <c r="Y1124" s="38">
        <f t="shared" si="565"/>
        <v>45911.524589659326</v>
      </c>
      <c r="Z1124" s="38">
        <f t="shared" si="565"/>
        <v>48385.122437945152</v>
      </c>
      <c r="AA1124" s="38">
        <f t="shared" si="565"/>
        <v>47336.96956135644</v>
      </c>
      <c r="AB1124" s="38">
        <f t="shared" si="565"/>
        <v>43873.365381809046</v>
      </c>
      <c r="AC1124" s="38">
        <f t="shared" si="565"/>
        <v>55448.691507619245</v>
      </c>
      <c r="AD1124" s="38">
        <f t="shared" si="565"/>
        <v>0</v>
      </c>
      <c r="AE1124" s="38">
        <f t="shared" si="565"/>
        <v>0</v>
      </c>
      <c r="AF1124" s="38">
        <f t="shared" si="565"/>
        <v>0</v>
      </c>
      <c r="AG1124" s="38">
        <f t="shared" si="565"/>
        <v>0</v>
      </c>
      <c r="AH1124" s="38">
        <f t="shared" si="565"/>
        <v>0</v>
      </c>
    </row>
    <row r="1125" spans="2:34">
      <c r="B1125" t="str">
        <f t="shared" si="560"/>
        <v>Utilidad</v>
      </c>
      <c r="E1125" s="55"/>
      <c r="W1125" s="38">
        <f t="shared" ref="W1125:AH1125" si="566">+$D1114*G$615*(1+INFLACION)^($C1114-$G$4)</f>
        <v>0</v>
      </c>
      <c r="X1125" s="38">
        <f t="shared" si="566"/>
        <v>1174.0037192628113</v>
      </c>
      <c r="Y1125" s="38">
        <f t="shared" si="566"/>
        <v>3003.5576834356543</v>
      </c>
      <c r="Z1125" s="38">
        <f t="shared" si="566"/>
        <v>3165.3818417347288</v>
      </c>
      <c r="AA1125" s="38">
        <f t="shared" si="566"/>
        <v>3096.8110927990178</v>
      </c>
      <c r="AB1125" s="38">
        <f t="shared" si="566"/>
        <v>2870.2201651650698</v>
      </c>
      <c r="AC1125" s="38">
        <f t="shared" si="566"/>
        <v>3627.4844911526698</v>
      </c>
      <c r="AD1125" s="38">
        <f t="shared" si="566"/>
        <v>0</v>
      </c>
      <c r="AE1125" s="38">
        <f t="shared" si="566"/>
        <v>0</v>
      </c>
      <c r="AF1125" s="38">
        <f t="shared" si="566"/>
        <v>0</v>
      </c>
      <c r="AG1125" s="38">
        <f t="shared" si="566"/>
        <v>0</v>
      </c>
      <c r="AH1125" s="38">
        <f t="shared" si="566"/>
        <v>0</v>
      </c>
    </row>
    <row r="1126" spans="2:34">
      <c r="B1126" t="str">
        <f t="shared" si="560"/>
        <v>Caja</v>
      </c>
      <c r="E1126" s="55"/>
      <c r="W1126" s="38">
        <f t="shared" ref="W1126:AH1126" si="567">+$D1114*G$616*(1+INFLACION)^($C1114-$G$4)</f>
        <v>0</v>
      </c>
      <c r="X1126" s="38">
        <f t="shared" si="567"/>
        <v>0</v>
      </c>
      <c r="Y1126" s="38">
        <f t="shared" si="567"/>
        <v>0</v>
      </c>
      <c r="Z1126" s="38">
        <f t="shared" si="567"/>
        <v>3913.3457308760358</v>
      </c>
      <c r="AA1126" s="38">
        <f t="shared" si="567"/>
        <v>4034.8206041848903</v>
      </c>
      <c r="AB1126" s="38">
        <f t="shared" si="567"/>
        <v>2491.5880021712865</v>
      </c>
      <c r="AC1126" s="38">
        <f t="shared" si="567"/>
        <v>6497.7046563177328</v>
      </c>
      <c r="AD1126" s="38">
        <f t="shared" si="567"/>
        <v>0</v>
      </c>
      <c r="AE1126" s="38">
        <f t="shared" si="567"/>
        <v>0</v>
      </c>
      <c r="AF1126" s="38">
        <f t="shared" si="567"/>
        <v>0</v>
      </c>
      <c r="AG1126" s="38">
        <f t="shared" si="567"/>
        <v>0</v>
      </c>
      <c r="AH1126" s="38">
        <f t="shared" si="567"/>
        <v>0</v>
      </c>
    </row>
    <row r="1127" spans="2:34">
      <c r="E1127" s="55"/>
    </row>
    <row r="1128" spans="2:34">
      <c r="B1128" t="str">
        <f t="shared" si="560"/>
        <v>Inmobiliario</v>
      </c>
      <c r="E1128" s="55"/>
    </row>
    <row r="1129" spans="2:34">
      <c r="B1129" t="str">
        <f t="shared" si="560"/>
        <v>Ventas</v>
      </c>
      <c r="E1129" s="55"/>
      <c r="W1129" s="38">
        <f t="shared" ref="W1129:AH1129" si="568">+$D1114*G$619*(1+INFLACION)^($C1114-$G$4)</f>
        <v>0</v>
      </c>
      <c r="X1129" s="38">
        <f t="shared" si="568"/>
        <v>9851.0152815018591</v>
      </c>
      <c r="Y1129" s="38">
        <f t="shared" si="568"/>
        <v>25170.174689459207</v>
      </c>
      <c r="Z1129" s="38">
        <f t="shared" si="568"/>
        <v>26170.624600996256</v>
      </c>
      <c r="AA1129" s="38">
        <f t="shared" si="568"/>
        <v>25296.746290783918</v>
      </c>
      <c r="AB1129" s="38">
        <f t="shared" si="568"/>
        <v>23227.737823361611</v>
      </c>
      <c r="AC1129" s="38">
        <f t="shared" si="568"/>
        <v>29097.402170970327</v>
      </c>
      <c r="AD1129" s="38">
        <f t="shared" si="568"/>
        <v>0</v>
      </c>
      <c r="AE1129" s="38">
        <f t="shared" si="568"/>
        <v>0</v>
      </c>
      <c r="AF1129" s="38">
        <f t="shared" si="568"/>
        <v>0</v>
      </c>
      <c r="AG1129" s="38">
        <f t="shared" si="568"/>
        <v>0</v>
      </c>
      <c r="AH1129" s="38">
        <f t="shared" si="568"/>
        <v>0</v>
      </c>
    </row>
    <row r="1130" spans="2:34">
      <c r="B1130" t="str">
        <f t="shared" si="560"/>
        <v>Utilidad</v>
      </c>
      <c r="E1130" s="55"/>
      <c r="W1130" s="38">
        <f t="shared" ref="W1130:AH1130" si="569">$D1114*G$620*(1+INFLACION)^($C1114-$G$4)</f>
        <v>0</v>
      </c>
      <c r="X1130" s="38">
        <f t="shared" si="569"/>
        <v>2024.8425651307562</v>
      </c>
      <c r="Y1130" s="38">
        <f t="shared" si="569"/>
        <v>5180.3340521484288</v>
      </c>
      <c r="Z1130" s="38">
        <f t="shared" si="569"/>
        <v>5459.4374641854592</v>
      </c>
      <c r="AA1130" s="38">
        <f t="shared" si="569"/>
        <v>5341.1712535340093</v>
      </c>
      <c r="AB1130" s="38">
        <f t="shared" si="569"/>
        <v>4950.3624787255712</v>
      </c>
      <c r="AC1130" s="38">
        <f t="shared" si="569"/>
        <v>6256.4409988835132</v>
      </c>
      <c r="AD1130" s="38">
        <f t="shared" si="569"/>
        <v>0</v>
      </c>
      <c r="AE1130" s="38">
        <f t="shared" si="569"/>
        <v>0</v>
      </c>
      <c r="AF1130" s="38">
        <f t="shared" si="569"/>
        <v>0</v>
      </c>
      <c r="AG1130" s="38">
        <f t="shared" si="569"/>
        <v>0</v>
      </c>
      <c r="AH1130" s="38">
        <f t="shared" si="569"/>
        <v>0</v>
      </c>
    </row>
    <row r="1131" spans="2:34">
      <c r="B1131" t="str">
        <f t="shared" si="560"/>
        <v>Caja</v>
      </c>
      <c r="E1131" s="55"/>
      <c r="W1131" s="38">
        <f t="shared" ref="W1131:AH1131" si="570">+$D1114*G$621*(1+INFLACION)^($C1114-$G$4)</f>
        <v>0</v>
      </c>
      <c r="X1131" s="38">
        <f t="shared" si="570"/>
        <v>0</v>
      </c>
      <c r="Y1131" s="38">
        <f t="shared" si="570"/>
        <v>0</v>
      </c>
      <c r="Z1131" s="38">
        <f t="shared" si="570"/>
        <v>6749.4752171025193</v>
      </c>
      <c r="AA1131" s="38">
        <f t="shared" si="570"/>
        <v>6958.9868992495612</v>
      </c>
      <c r="AB1131" s="38">
        <f t="shared" si="570"/>
        <v>4297.323218646573</v>
      </c>
      <c r="AC1131" s="38">
        <f t="shared" si="570"/>
        <v>11206.803477609081</v>
      </c>
      <c r="AD1131" s="38">
        <f t="shared" si="570"/>
        <v>0</v>
      </c>
      <c r="AE1131" s="38">
        <f t="shared" si="570"/>
        <v>0</v>
      </c>
      <c r="AF1131" s="38">
        <f t="shared" si="570"/>
        <v>0</v>
      </c>
      <c r="AG1131" s="38">
        <f t="shared" si="570"/>
        <v>0</v>
      </c>
      <c r="AH1131" s="38">
        <f t="shared" si="570"/>
        <v>0</v>
      </c>
    </row>
    <row r="1132" spans="2:34">
      <c r="E1132" s="55"/>
    </row>
    <row r="1133" spans="2:34">
      <c r="B1133" t="str">
        <f t="shared" si="560"/>
        <v>utilidad como inversionista</v>
      </c>
      <c r="E1133" s="55"/>
    </row>
    <row r="1134" spans="2:34">
      <c r="B1134" t="str">
        <f t="shared" si="560"/>
        <v>Ventas</v>
      </c>
      <c r="E1134" s="55"/>
      <c r="W1134" s="38">
        <f t="shared" ref="W1134:AH1134" si="571">+$D1114*G$624*(1+INFLACION)^($C1114-$G$4)*$E1114</f>
        <v>0</v>
      </c>
      <c r="X1134" s="38">
        <f t="shared" si="571"/>
        <v>1012.4212825653774</v>
      </c>
      <c r="Y1134" s="38">
        <f t="shared" si="571"/>
        <v>2622.7171260868317</v>
      </c>
      <c r="Z1134" s="38">
        <f t="shared" si="571"/>
        <v>3119.6785509631204</v>
      </c>
      <c r="AA1134" s="38">
        <f t="shared" si="571"/>
        <v>3359.0495176370464</v>
      </c>
      <c r="AB1134" s="38">
        <f t="shared" si="571"/>
        <v>3331.3387601065128</v>
      </c>
      <c r="AC1134" s="38">
        <f t="shared" si="571"/>
        <v>4468.8864277739403</v>
      </c>
      <c r="AD1134" s="38">
        <f t="shared" si="571"/>
        <v>0</v>
      </c>
      <c r="AE1134" s="38">
        <f t="shared" si="571"/>
        <v>0</v>
      </c>
      <c r="AF1134" s="38">
        <f t="shared" si="571"/>
        <v>0</v>
      </c>
      <c r="AG1134" s="38">
        <f t="shared" si="571"/>
        <v>0</v>
      </c>
      <c r="AH1134" s="38">
        <f t="shared" si="571"/>
        <v>0</v>
      </c>
    </row>
    <row r="1135" spans="2:34">
      <c r="B1135" t="str">
        <f t="shared" si="560"/>
        <v>Caja</v>
      </c>
      <c r="E1135" s="55"/>
      <c r="W1135" s="38">
        <f t="shared" ref="W1135:AH1135" si="572">+$D1114*G$625*(1+INFLACION)^($C1114-$G$4)*$E1114</f>
        <v>0</v>
      </c>
      <c r="X1135" s="38">
        <f t="shared" si="572"/>
        <v>0</v>
      </c>
      <c r="Y1135" s="38">
        <f t="shared" si="572"/>
        <v>0</v>
      </c>
      <c r="Z1135" s="38">
        <f t="shared" si="572"/>
        <v>0</v>
      </c>
      <c r="AA1135" s="38">
        <f t="shared" si="572"/>
        <v>0</v>
      </c>
      <c r="AB1135" s="38">
        <f t="shared" si="572"/>
        <v>3976.5639424283195</v>
      </c>
      <c r="AC1135" s="38">
        <f t="shared" si="572"/>
        <v>7979.0124856725879</v>
      </c>
      <c r="AD1135" s="38">
        <f t="shared" si="572"/>
        <v>5958.5152370319211</v>
      </c>
      <c r="AE1135" s="38">
        <f t="shared" si="572"/>
        <v>0</v>
      </c>
      <c r="AF1135" s="38">
        <f t="shared" si="572"/>
        <v>0</v>
      </c>
      <c r="AG1135" s="38">
        <f t="shared" si="572"/>
        <v>0</v>
      </c>
      <c r="AH1135" s="38">
        <f t="shared" si="572"/>
        <v>0</v>
      </c>
    </row>
    <row r="1136" spans="2:34">
      <c r="E1136" s="55"/>
    </row>
    <row r="1137" spans="2:35">
      <c r="B1137" t="str">
        <f t="shared" si="560"/>
        <v>Inversiones en proyectos caja</v>
      </c>
      <c r="E1137" s="55"/>
      <c r="W1137" s="38">
        <f t="shared" ref="W1137:AH1137" si="573">$D1114*G$627*(1+INFLACION)^($C1114-$G$4)*$E1114</f>
        <v>10488.694976072285</v>
      </c>
      <c r="X1137" s="38">
        <f t="shared" si="573"/>
        <v>2996.7699931635098</v>
      </c>
      <c r="Y1137" s="38">
        <f t="shared" si="573"/>
        <v>0</v>
      </c>
      <c r="Z1137" s="38">
        <f t="shared" si="573"/>
        <v>0</v>
      </c>
      <c r="AA1137" s="38">
        <f t="shared" si="573"/>
        <v>0</v>
      </c>
      <c r="AB1137" s="38">
        <f t="shared" si="573"/>
        <v>0</v>
      </c>
      <c r="AC1137" s="38">
        <f t="shared" si="573"/>
        <v>0</v>
      </c>
      <c r="AD1137" s="38">
        <f t="shared" si="573"/>
        <v>0</v>
      </c>
      <c r="AE1137" s="38">
        <f t="shared" si="573"/>
        <v>0</v>
      </c>
      <c r="AF1137" s="38">
        <f t="shared" si="573"/>
        <v>0</v>
      </c>
      <c r="AG1137" s="38">
        <f t="shared" si="573"/>
        <v>0</v>
      </c>
      <c r="AH1137" s="38">
        <f t="shared" si="573"/>
        <v>0</v>
      </c>
    </row>
    <row r="1138" spans="2:35">
      <c r="B1138" t="str">
        <f t="shared" si="560"/>
        <v>DesInversiones en proyectos caja</v>
      </c>
      <c r="E1138" s="55"/>
      <c r="W1138" s="38">
        <f t="shared" ref="W1138:AH1138" si="574">+$D1114*G$628*(1+INFLACION)^($C1114-$G$4)*$E1114</f>
        <v>0</v>
      </c>
      <c r="X1138" s="38">
        <f t="shared" si="574"/>
        <v>0</v>
      </c>
      <c r="Y1138" s="38">
        <f t="shared" si="574"/>
        <v>0</v>
      </c>
      <c r="Z1138" s="38">
        <f t="shared" si="574"/>
        <v>0</v>
      </c>
      <c r="AA1138" s="38">
        <f t="shared" si="574"/>
        <v>10488.694976072285</v>
      </c>
      <c r="AB1138" s="38">
        <f t="shared" si="574"/>
        <v>2996.7699931635098</v>
      </c>
      <c r="AC1138" s="38">
        <f t="shared" si="574"/>
        <v>0</v>
      </c>
      <c r="AD1138" s="38">
        <f t="shared" si="574"/>
        <v>0</v>
      </c>
      <c r="AE1138" s="38">
        <f t="shared" si="574"/>
        <v>0</v>
      </c>
      <c r="AF1138" s="38">
        <f t="shared" si="574"/>
        <v>0</v>
      </c>
      <c r="AG1138" s="38">
        <f t="shared" si="574"/>
        <v>0</v>
      </c>
      <c r="AH1138" s="38">
        <f t="shared" si="574"/>
        <v>0</v>
      </c>
    </row>
    <row r="1139" spans="2:35">
      <c r="B1139" t="str">
        <f>+B1109</f>
        <v>Escrituración</v>
      </c>
      <c r="W1139" s="38">
        <f t="shared" ref="W1139:AH1139" si="575">+$D1114*G$629*(1+INFLACION)^($C1114-$G$4)</f>
        <v>0</v>
      </c>
      <c r="X1139" s="38">
        <f t="shared" si="575"/>
        <v>0</v>
      </c>
      <c r="Y1139" s="38">
        <f t="shared" si="575"/>
        <v>0</v>
      </c>
      <c r="Z1139" s="38">
        <f t="shared" si="575"/>
        <v>96812.409103123544</v>
      </c>
      <c r="AA1139" s="38">
        <f t="shared" si="575"/>
        <v>99817.580621126486</v>
      </c>
      <c r="AB1139" s="38">
        <f t="shared" si="575"/>
        <v>102732.48415861366</v>
      </c>
      <c r="AC1139" s="38">
        <f t="shared" si="575"/>
        <v>119653.9693394588</v>
      </c>
      <c r="AD1139" s="38">
        <f t="shared" si="575"/>
        <v>0</v>
      </c>
      <c r="AE1139" s="38">
        <f t="shared" si="575"/>
        <v>0</v>
      </c>
      <c r="AF1139" s="38">
        <f t="shared" si="575"/>
        <v>0</v>
      </c>
      <c r="AG1139" s="38">
        <f t="shared" si="575"/>
        <v>0</v>
      </c>
      <c r="AH1139" s="38">
        <f t="shared" si="575"/>
        <v>0</v>
      </c>
    </row>
    <row r="1140" spans="2:35">
      <c r="B1140" t="s">
        <v>359</v>
      </c>
      <c r="E1140" s="55"/>
      <c r="W1140" s="38">
        <f t="shared" ref="W1140:AH1140" si="576">+$D1114*G$630*(1+INFLACION)^($C1114-$G$4)</f>
        <v>0</v>
      </c>
      <c r="X1140" s="38">
        <f t="shared" si="576"/>
        <v>0</v>
      </c>
      <c r="Y1140" s="38">
        <f t="shared" si="576"/>
        <v>0</v>
      </c>
      <c r="Z1140" s="38">
        <f t="shared" si="576"/>
        <v>62673.698444523354</v>
      </c>
      <c r="AA1140" s="38">
        <f t="shared" si="576"/>
        <v>64619.164064460201</v>
      </c>
      <c r="AB1140" s="38">
        <f t="shared" si="576"/>
        <v>66506.192669530341</v>
      </c>
      <c r="AC1140" s="38">
        <f t="shared" si="576"/>
        <v>77460.698081414987</v>
      </c>
      <c r="AD1140" s="38">
        <f t="shared" si="576"/>
        <v>0</v>
      </c>
      <c r="AE1140" s="38">
        <f t="shared" si="576"/>
        <v>0</v>
      </c>
      <c r="AF1140" s="38">
        <f t="shared" si="576"/>
        <v>0</v>
      </c>
      <c r="AG1140" s="38">
        <f t="shared" si="576"/>
        <v>0</v>
      </c>
      <c r="AH1140" s="38">
        <f t="shared" si="576"/>
        <v>0</v>
      </c>
    </row>
    <row r="1141" spans="2:35">
      <c r="E1141" s="55"/>
    </row>
    <row r="1142" spans="2:35">
      <c r="E1142" s="55"/>
    </row>
    <row r="1143" spans="2:35">
      <c r="C1143" t="s">
        <v>615</v>
      </c>
      <c r="D1143" t="s">
        <v>616</v>
      </c>
      <c r="E1143" s="55" t="s">
        <v>617</v>
      </c>
    </row>
    <row r="1144" spans="2:35">
      <c r="B1144" t="s">
        <v>618</v>
      </c>
      <c r="C1144">
        <f>+C1114+1</f>
        <v>2036</v>
      </c>
      <c r="D1144">
        <f>+VLOOKUP(C1144,$B$545:$C$567,2,FALSE)</f>
        <v>1</v>
      </c>
      <c r="E1144" s="55">
        <f>+HLOOKUP('Proyectos Inmob detall'!C1144,Proyecciones!$G$56:$AG$57,2,FALSE)</f>
        <v>1</v>
      </c>
    </row>
    <row r="1145" spans="2:35">
      <c r="B1145" t="str">
        <f>+B1115</f>
        <v>Arquitectura</v>
      </c>
      <c r="E1145" s="55"/>
    </row>
    <row r="1146" spans="2:35">
      <c r="B1146" t="str">
        <f t="shared" ref="B1146:B1168" si="577">+B1116</f>
        <v>Ventas</v>
      </c>
      <c r="E1146" s="55"/>
      <c r="X1146" s="38">
        <f t="shared" ref="X1146:AI1146" si="578">+$D1144*G$606*(1+INFLACION)^($C1144-$G$4)</f>
        <v>0</v>
      </c>
      <c r="Y1146" s="38">
        <f t="shared" si="578"/>
        <v>43.605852429761576</v>
      </c>
      <c r="Z1146" s="38">
        <f t="shared" si="578"/>
        <v>111.56071395618156</v>
      </c>
      <c r="AA1146" s="38">
        <f t="shared" si="578"/>
        <v>117.57132555014712</v>
      </c>
      <c r="AB1146" s="38">
        <f t="shared" si="578"/>
        <v>115.02441201824927</v>
      </c>
      <c r="AC1146" s="38">
        <f t="shared" si="578"/>
        <v>106.60817756327435</v>
      </c>
      <c r="AD1146" s="38">
        <f t="shared" si="578"/>
        <v>134.73513824281324</v>
      </c>
      <c r="AE1146" s="38">
        <f t="shared" si="578"/>
        <v>0</v>
      </c>
      <c r="AF1146" s="38">
        <f t="shared" si="578"/>
        <v>0</v>
      </c>
      <c r="AG1146" s="38">
        <f t="shared" si="578"/>
        <v>0</v>
      </c>
      <c r="AH1146" s="38">
        <f t="shared" si="578"/>
        <v>0</v>
      </c>
      <c r="AI1146" s="38">
        <f t="shared" si="578"/>
        <v>0</v>
      </c>
    </row>
    <row r="1147" spans="2:35">
      <c r="B1147" t="str">
        <f t="shared" si="577"/>
        <v>Caja</v>
      </c>
      <c r="E1147" s="55"/>
      <c r="X1147" s="38">
        <f t="shared" ref="X1147:AI1147" si="579">+$D1144*G$607*(1+INFLACION)^($C1144-$G$4)</f>
        <v>0</v>
      </c>
      <c r="Y1147" s="38">
        <f t="shared" si="579"/>
        <v>0</v>
      </c>
      <c r="Z1147" s="38">
        <f t="shared" si="579"/>
        <v>145.35284143253858</v>
      </c>
      <c r="AA1147" s="38">
        <f t="shared" si="579"/>
        <v>0</v>
      </c>
      <c r="AB1147" s="38">
        <f t="shared" si="579"/>
        <v>149.86476529829608</v>
      </c>
      <c r="AC1147" s="38">
        <f t="shared" si="579"/>
        <v>154.24116203917478</v>
      </c>
      <c r="AD1147" s="38">
        <f t="shared" si="579"/>
        <v>179.64685099041762</v>
      </c>
      <c r="AE1147" s="38">
        <f t="shared" si="579"/>
        <v>0</v>
      </c>
      <c r="AF1147" s="38">
        <f t="shared" si="579"/>
        <v>0</v>
      </c>
      <c r="AG1147" s="38">
        <f t="shared" si="579"/>
        <v>0</v>
      </c>
      <c r="AH1147" s="38">
        <f t="shared" si="579"/>
        <v>0</v>
      </c>
      <c r="AI1147" s="38">
        <f t="shared" si="579"/>
        <v>0</v>
      </c>
    </row>
    <row r="1148" spans="2:35">
      <c r="E1148" s="55"/>
    </row>
    <row r="1149" spans="2:35">
      <c r="B1149" t="str">
        <f t="shared" si="577"/>
        <v>Preconstrucción</v>
      </c>
      <c r="E1149" s="55"/>
    </row>
    <row r="1150" spans="2:35">
      <c r="B1150" t="str">
        <f t="shared" si="577"/>
        <v>Ventas</v>
      </c>
      <c r="E1150" s="55"/>
      <c r="X1150" s="38">
        <f t="shared" ref="X1150:AI1150" si="580">$D1144*G$610*(1+INFLACION)^($C1144-$G$4)</f>
        <v>0</v>
      </c>
      <c r="Y1150" s="38">
        <f t="shared" si="580"/>
        <v>17.442340971904628</v>
      </c>
      <c r="Z1150" s="38">
        <f t="shared" si="580"/>
        <v>44.624285582472616</v>
      </c>
      <c r="AA1150" s="38">
        <f t="shared" si="580"/>
        <v>47.028530220058833</v>
      </c>
      <c r="AB1150" s="38">
        <f t="shared" si="580"/>
        <v>46.009764807299689</v>
      </c>
      <c r="AC1150" s="38">
        <f t="shared" si="580"/>
        <v>42.643271025309744</v>
      </c>
      <c r="AD1150" s="38">
        <f t="shared" si="580"/>
        <v>53.894055297125277</v>
      </c>
      <c r="AE1150" s="38">
        <f t="shared" si="580"/>
        <v>0</v>
      </c>
      <c r="AF1150" s="38">
        <f t="shared" si="580"/>
        <v>0</v>
      </c>
      <c r="AG1150" s="38">
        <f t="shared" si="580"/>
        <v>0</v>
      </c>
      <c r="AH1150" s="38">
        <f t="shared" si="580"/>
        <v>0</v>
      </c>
      <c r="AI1150" s="38">
        <f t="shared" si="580"/>
        <v>0</v>
      </c>
    </row>
    <row r="1151" spans="2:35">
      <c r="B1151" t="str">
        <f t="shared" si="577"/>
        <v>Caja</v>
      </c>
      <c r="E1151" s="55"/>
      <c r="X1151" s="38">
        <f t="shared" ref="X1151:AI1151" si="581">+$D1144*G$611*(1+INFLACION)^($C1144-$G$4)</f>
        <v>0</v>
      </c>
      <c r="Y1151" s="38">
        <f t="shared" si="581"/>
        <v>0</v>
      </c>
      <c r="Z1151" s="38">
        <f t="shared" si="581"/>
        <v>58.14113657301543</v>
      </c>
      <c r="AA1151" s="38">
        <f t="shared" si="581"/>
        <v>0</v>
      </c>
      <c r="AB1151" s="38">
        <f t="shared" si="581"/>
        <v>59.945906119318437</v>
      </c>
      <c r="AC1151" s="38">
        <f t="shared" si="581"/>
        <v>61.696464815669906</v>
      </c>
      <c r="AD1151" s="38">
        <f t="shared" si="581"/>
        <v>71.85874039616705</v>
      </c>
      <c r="AE1151" s="38">
        <f t="shared" si="581"/>
        <v>0</v>
      </c>
      <c r="AF1151" s="38">
        <f t="shared" si="581"/>
        <v>0</v>
      </c>
      <c r="AG1151" s="38">
        <f t="shared" si="581"/>
        <v>0</v>
      </c>
      <c r="AH1151" s="38">
        <f t="shared" si="581"/>
        <v>0</v>
      </c>
      <c r="AI1151" s="38">
        <f t="shared" si="581"/>
        <v>0</v>
      </c>
    </row>
    <row r="1152" spans="2:35">
      <c r="E1152" s="55"/>
    </row>
    <row r="1153" spans="2:35">
      <c r="B1153" t="str">
        <f t="shared" si="577"/>
        <v>Construccion</v>
      </c>
      <c r="E1153" s="55"/>
    </row>
    <row r="1154" spans="2:35">
      <c r="B1154" t="str">
        <f t="shared" si="577"/>
        <v>Ventas</v>
      </c>
      <c r="E1154" s="55"/>
      <c r="X1154" s="38">
        <f t="shared" ref="X1154:AI1154" si="582">+$D1144*G$614*(1+INFLACION)^($C1144-$G$4)</f>
        <v>0</v>
      </c>
      <c r="Y1154" s="38">
        <f t="shared" si="582"/>
        <v>4665.8262099844878</v>
      </c>
      <c r="Z1154" s="38">
        <f t="shared" si="582"/>
        <v>11936.996393311425</v>
      </c>
      <c r="AA1154" s="38">
        <f t="shared" si="582"/>
        <v>12580.13183386574</v>
      </c>
      <c r="AB1154" s="38">
        <f t="shared" si="582"/>
        <v>12307.612085952675</v>
      </c>
      <c r="AC1154" s="38">
        <f t="shared" si="582"/>
        <v>11407.074999270353</v>
      </c>
      <c r="AD1154" s="38">
        <f t="shared" si="582"/>
        <v>14416.659791981005</v>
      </c>
      <c r="AE1154" s="38">
        <f t="shared" si="582"/>
        <v>0</v>
      </c>
      <c r="AF1154" s="38">
        <f t="shared" si="582"/>
        <v>0</v>
      </c>
      <c r="AG1154" s="38">
        <f t="shared" si="582"/>
        <v>0</v>
      </c>
      <c r="AH1154" s="38">
        <f t="shared" si="582"/>
        <v>0</v>
      </c>
      <c r="AI1154" s="38">
        <f t="shared" si="582"/>
        <v>0</v>
      </c>
    </row>
    <row r="1155" spans="2:35">
      <c r="B1155" t="str">
        <f t="shared" si="577"/>
        <v>Utilidad</v>
      </c>
      <c r="E1155" s="55"/>
      <c r="X1155" s="38">
        <f t="shared" ref="X1155:AI1155" si="583">+$D1144*G$615*(1+INFLACION)^($C1144-$G$4)</f>
        <v>0</v>
      </c>
      <c r="Y1155" s="38">
        <f t="shared" si="583"/>
        <v>305.24096700833098</v>
      </c>
      <c r="Z1155" s="38">
        <f t="shared" si="583"/>
        <v>780.92499769327014</v>
      </c>
      <c r="AA1155" s="38">
        <f t="shared" si="583"/>
        <v>822.99927885102943</v>
      </c>
      <c r="AB1155" s="38">
        <f t="shared" si="583"/>
        <v>805.17088412774467</v>
      </c>
      <c r="AC1155" s="38">
        <f t="shared" si="583"/>
        <v>746.25724294291808</v>
      </c>
      <c r="AD1155" s="38">
        <f t="shared" si="583"/>
        <v>943.14596769969421</v>
      </c>
      <c r="AE1155" s="38">
        <f t="shared" si="583"/>
        <v>0</v>
      </c>
      <c r="AF1155" s="38">
        <f t="shared" si="583"/>
        <v>0</v>
      </c>
      <c r="AG1155" s="38">
        <f t="shared" si="583"/>
        <v>0</v>
      </c>
      <c r="AH1155" s="38">
        <f t="shared" si="583"/>
        <v>0</v>
      </c>
      <c r="AI1155" s="38">
        <f t="shared" si="583"/>
        <v>0</v>
      </c>
    </row>
    <row r="1156" spans="2:35">
      <c r="B1156" t="str">
        <f t="shared" si="577"/>
        <v>Caja</v>
      </c>
      <c r="E1156" s="55"/>
      <c r="X1156" s="38">
        <f t="shared" ref="X1156:AI1156" si="584">+$D1144*G$616*(1+INFLACION)^($C1144-$G$4)</f>
        <v>0</v>
      </c>
      <c r="Y1156" s="38">
        <f t="shared" si="584"/>
        <v>0</v>
      </c>
      <c r="Z1156" s="38">
        <f t="shared" si="584"/>
        <v>0</v>
      </c>
      <c r="AA1156" s="38">
        <f t="shared" si="584"/>
        <v>1017.4698900277693</v>
      </c>
      <c r="AB1156" s="38">
        <f t="shared" si="584"/>
        <v>1049.0533570880714</v>
      </c>
      <c r="AC1156" s="38">
        <f t="shared" si="584"/>
        <v>647.81288056453457</v>
      </c>
      <c r="AD1156" s="38">
        <f t="shared" si="584"/>
        <v>1689.4032106426105</v>
      </c>
      <c r="AE1156" s="38">
        <f t="shared" si="584"/>
        <v>0</v>
      </c>
      <c r="AF1156" s="38">
        <f t="shared" si="584"/>
        <v>0</v>
      </c>
      <c r="AG1156" s="38">
        <f t="shared" si="584"/>
        <v>0</v>
      </c>
      <c r="AH1156" s="38">
        <f t="shared" si="584"/>
        <v>0</v>
      </c>
      <c r="AI1156" s="38">
        <f t="shared" si="584"/>
        <v>0</v>
      </c>
    </row>
    <row r="1157" spans="2:35">
      <c r="E1157" s="55"/>
    </row>
    <row r="1158" spans="2:35">
      <c r="B1158" t="str">
        <f t="shared" si="577"/>
        <v>Inmobiliario</v>
      </c>
      <c r="E1158" s="55"/>
    </row>
    <row r="1159" spans="2:35">
      <c r="B1159" t="str">
        <f t="shared" si="577"/>
        <v>Ventas</v>
      </c>
      <c r="E1159" s="55"/>
      <c r="X1159" s="38">
        <f t="shared" ref="X1159:AI1159" si="585">+$D1144*G$619*(1+INFLACION)^($C1144-$G$4)</f>
        <v>0</v>
      </c>
      <c r="Y1159" s="38">
        <f t="shared" si="585"/>
        <v>2561.2639731904833</v>
      </c>
      <c r="Z1159" s="38">
        <f t="shared" si="585"/>
        <v>6544.2454192593941</v>
      </c>
      <c r="AA1159" s="38">
        <f t="shared" si="585"/>
        <v>6804.3623962590264</v>
      </c>
      <c r="AB1159" s="38">
        <f t="shared" si="585"/>
        <v>6577.1540356038186</v>
      </c>
      <c r="AC1159" s="38">
        <f t="shared" si="585"/>
        <v>6039.211834074019</v>
      </c>
      <c r="AD1159" s="38">
        <f t="shared" si="585"/>
        <v>7565.3245644522849</v>
      </c>
      <c r="AE1159" s="38">
        <f t="shared" si="585"/>
        <v>0</v>
      </c>
      <c r="AF1159" s="38">
        <f t="shared" si="585"/>
        <v>0</v>
      </c>
      <c r="AG1159" s="38">
        <f t="shared" si="585"/>
        <v>0</v>
      </c>
      <c r="AH1159" s="38">
        <f t="shared" si="585"/>
        <v>0</v>
      </c>
      <c r="AI1159" s="38">
        <f t="shared" si="585"/>
        <v>0</v>
      </c>
    </row>
    <row r="1160" spans="2:35">
      <c r="B1160" t="str">
        <f t="shared" si="577"/>
        <v>Utilidad</v>
      </c>
      <c r="E1160" s="55"/>
      <c r="X1160" s="38">
        <f t="shared" ref="X1160:AI1160" si="586">$D1144*G$620*(1+INFLACION)^($C1144-$G$4)</f>
        <v>0</v>
      </c>
      <c r="Y1160" s="38">
        <f t="shared" si="586"/>
        <v>526.45906693399661</v>
      </c>
      <c r="Z1160" s="38">
        <f t="shared" si="586"/>
        <v>1346.8868535585916</v>
      </c>
      <c r="AA1160" s="38">
        <f t="shared" si="586"/>
        <v>1419.4537406882193</v>
      </c>
      <c r="AB1160" s="38">
        <f t="shared" si="586"/>
        <v>1388.7045259188424</v>
      </c>
      <c r="AC1160" s="38">
        <f t="shared" si="586"/>
        <v>1287.0942444686486</v>
      </c>
      <c r="AD1160" s="38">
        <f t="shared" si="586"/>
        <v>1626.6746597097135</v>
      </c>
      <c r="AE1160" s="38">
        <f t="shared" si="586"/>
        <v>0</v>
      </c>
      <c r="AF1160" s="38">
        <f t="shared" si="586"/>
        <v>0</v>
      </c>
      <c r="AG1160" s="38">
        <f t="shared" si="586"/>
        <v>0</v>
      </c>
      <c r="AH1160" s="38">
        <f t="shared" si="586"/>
        <v>0</v>
      </c>
      <c r="AI1160" s="38">
        <f t="shared" si="586"/>
        <v>0</v>
      </c>
    </row>
    <row r="1161" spans="2:35">
      <c r="B1161" t="str">
        <f t="shared" si="577"/>
        <v>Caja</v>
      </c>
      <c r="E1161" s="55"/>
      <c r="X1161" s="38">
        <f t="shared" ref="X1161:AI1161" si="587">+$D1144*G$621*(1+INFLACION)^($C1144-$G$4)</f>
        <v>0</v>
      </c>
      <c r="Y1161" s="38">
        <f t="shared" si="587"/>
        <v>0</v>
      </c>
      <c r="Z1161" s="38">
        <f t="shared" si="587"/>
        <v>0</v>
      </c>
      <c r="AA1161" s="38">
        <f t="shared" si="587"/>
        <v>1754.8635564466551</v>
      </c>
      <c r="AB1161" s="38">
        <f t="shared" si="587"/>
        <v>1809.336593804886</v>
      </c>
      <c r="AC1161" s="38">
        <f t="shared" si="587"/>
        <v>1117.304036848109</v>
      </c>
      <c r="AD1161" s="38">
        <f t="shared" si="587"/>
        <v>2913.7689041783615</v>
      </c>
      <c r="AE1161" s="38">
        <f t="shared" si="587"/>
        <v>0</v>
      </c>
      <c r="AF1161" s="38">
        <f t="shared" si="587"/>
        <v>0</v>
      </c>
      <c r="AG1161" s="38">
        <f t="shared" si="587"/>
        <v>0</v>
      </c>
      <c r="AH1161" s="38">
        <f t="shared" si="587"/>
        <v>0</v>
      </c>
      <c r="AI1161" s="38">
        <f t="shared" si="587"/>
        <v>0</v>
      </c>
    </row>
    <row r="1162" spans="2:35">
      <c r="E1162" s="55"/>
    </row>
    <row r="1163" spans="2:35">
      <c r="B1163" t="str">
        <f t="shared" si="577"/>
        <v>utilidad como inversionista</v>
      </c>
      <c r="E1163" s="55"/>
    </row>
    <row r="1164" spans="2:35">
      <c r="B1164" t="str">
        <f t="shared" si="577"/>
        <v>Ventas</v>
      </c>
      <c r="E1164" s="55"/>
      <c r="X1164" s="38">
        <f t="shared" ref="X1164:AI1164" si="588">+$D1144*G$624*(1+INFLACION)^($C1144-$G$4)*$E1144</f>
        <v>0</v>
      </c>
      <c r="Y1164" s="38">
        <f t="shared" si="588"/>
        <v>263.22953346699813</v>
      </c>
      <c r="Z1164" s="38">
        <f t="shared" si="588"/>
        <v>681.90645278257637</v>
      </c>
      <c r="AA1164" s="38">
        <f t="shared" si="588"/>
        <v>811.11642325041134</v>
      </c>
      <c r="AB1164" s="38">
        <f t="shared" si="588"/>
        <v>873.35287458563221</v>
      </c>
      <c r="AC1164" s="38">
        <f t="shared" si="588"/>
        <v>866.14807762769328</v>
      </c>
      <c r="AD1164" s="38">
        <f t="shared" si="588"/>
        <v>1161.9104712212245</v>
      </c>
      <c r="AE1164" s="38">
        <f t="shared" si="588"/>
        <v>0</v>
      </c>
      <c r="AF1164" s="38">
        <f t="shared" si="588"/>
        <v>0</v>
      </c>
      <c r="AG1164" s="38">
        <f t="shared" si="588"/>
        <v>0</v>
      </c>
      <c r="AH1164" s="38">
        <f t="shared" si="588"/>
        <v>0</v>
      </c>
      <c r="AI1164" s="38">
        <f t="shared" si="588"/>
        <v>0</v>
      </c>
    </row>
    <row r="1165" spans="2:35">
      <c r="B1165" t="str">
        <f t="shared" si="577"/>
        <v>Caja</v>
      </c>
      <c r="E1165" s="55"/>
      <c r="X1165" s="38">
        <f t="shared" ref="X1165:AI1165" si="589">+$D1144*G$625*(1+INFLACION)^($C1144-$G$4)*$E1144</f>
        <v>0</v>
      </c>
      <c r="Y1165" s="38">
        <f t="shared" si="589"/>
        <v>0</v>
      </c>
      <c r="Z1165" s="38">
        <f t="shared" si="589"/>
        <v>0</v>
      </c>
      <c r="AA1165" s="38">
        <f t="shared" si="589"/>
        <v>0</v>
      </c>
      <c r="AB1165" s="38">
        <f t="shared" si="589"/>
        <v>0</v>
      </c>
      <c r="AC1165" s="38">
        <f t="shared" si="589"/>
        <v>1033.9066250313631</v>
      </c>
      <c r="AD1165" s="38">
        <f t="shared" si="589"/>
        <v>2074.5432462748731</v>
      </c>
      <c r="AE1165" s="38">
        <f t="shared" si="589"/>
        <v>1549.2139616282996</v>
      </c>
      <c r="AF1165" s="38">
        <f t="shared" si="589"/>
        <v>0</v>
      </c>
      <c r="AG1165" s="38">
        <f t="shared" si="589"/>
        <v>0</v>
      </c>
      <c r="AH1165" s="38">
        <f t="shared" si="589"/>
        <v>0</v>
      </c>
      <c r="AI1165" s="38">
        <f t="shared" si="589"/>
        <v>0</v>
      </c>
    </row>
    <row r="1166" spans="2:35">
      <c r="E1166" s="55"/>
    </row>
    <row r="1167" spans="2:35">
      <c r="B1167" t="str">
        <f t="shared" si="577"/>
        <v>Inversiones en proyectos caja</v>
      </c>
      <c r="E1167" s="55"/>
      <c r="X1167" s="38">
        <f t="shared" ref="X1167:AI1167" si="590">$D1144*G$627*(1+INFLACION)^($C1144-$G$4)*$E1144</f>
        <v>2727.0606937787943</v>
      </c>
      <c r="Y1167" s="38">
        <f t="shared" si="590"/>
        <v>779.16019822251258</v>
      </c>
      <c r="Z1167" s="38">
        <f t="shared" si="590"/>
        <v>0</v>
      </c>
      <c r="AA1167" s="38">
        <f t="shared" si="590"/>
        <v>0</v>
      </c>
      <c r="AB1167" s="38">
        <f t="shared" si="590"/>
        <v>0</v>
      </c>
      <c r="AC1167" s="38">
        <f t="shared" si="590"/>
        <v>0</v>
      </c>
      <c r="AD1167" s="38">
        <f t="shared" si="590"/>
        <v>0</v>
      </c>
      <c r="AE1167" s="38">
        <f t="shared" si="590"/>
        <v>0</v>
      </c>
      <c r="AF1167" s="38">
        <f t="shared" si="590"/>
        <v>0</v>
      </c>
      <c r="AG1167" s="38">
        <f t="shared" si="590"/>
        <v>0</v>
      </c>
      <c r="AH1167" s="38">
        <f t="shared" si="590"/>
        <v>0</v>
      </c>
      <c r="AI1167" s="38">
        <f t="shared" si="590"/>
        <v>0</v>
      </c>
    </row>
    <row r="1168" spans="2:35">
      <c r="B1168" t="str">
        <f t="shared" si="577"/>
        <v>DesInversiones en proyectos caja</v>
      </c>
      <c r="E1168" s="55"/>
      <c r="X1168" s="38">
        <f t="shared" ref="X1168:AI1168" si="591">+$D1144*G$628*(1+INFLACION)^($C1144-$G$4)*$E1144</f>
        <v>0</v>
      </c>
      <c r="Y1168" s="38">
        <f t="shared" si="591"/>
        <v>0</v>
      </c>
      <c r="Z1168" s="38">
        <f t="shared" si="591"/>
        <v>0</v>
      </c>
      <c r="AA1168" s="38">
        <f t="shared" si="591"/>
        <v>0</v>
      </c>
      <c r="AB1168" s="38">
        <f t="shared" si="591"/>
        <v>2727.0606937787943</v>
      </c>
      <c r="AC1168" s="38">
        <f t="shared" si="591"/>
        <v>779.16019822251258</v>
      </c>
      <c r="AD1168" s="38">
        <f t="shared" si="591"/>
        <v>0</v>
      </c>
      <c r="AE1168" s="38">
        <f t="shared" si="591"/>
        <v>0</v>
      </c>
      <c r="AF1168" s="38">
        <f t="shared" si="591"/>
        <v>0</v>
      </c>
      <c r="AG1168" s="38">
        <f t="shared" si="591"/>
        <v>0</v>
      </c>
      <c r="AH1168" s="38">
        <f t="shared" si="591"/>
        <v>0</v>
      </c>
      <c r="AI1168" s="38">
        <f t="shared" si="591"/>
        <v>0</v>
      </c>
    </row>
    <row r="1169" spans="2:36">
      <c r="B1169" t="str">
        <f>+B1139</f>
        <v>Escrituración</v>
      </c>
      <c r="X1169" s="38">
        <f t="shared" ref="X1169:AI1169" si="592">+$D1144*G$629*(1+INFLACION)^($C1144-$G$4)</f>
        <v>0</v>
      </c>
      <c r="Y1169" s="38">
        <f t="shared" si="592"/>
        <v>0</v>
      </c>
      <c r="Z1169" s="38">
        <f t="shared" si="592"/>
        <v>0</v>
      </c>
      <c r="AA1169" s="38">
        <f t="shared" si="592"/>
        <v>25171.22636681212</v>
      </c>
      <c r="AB1169" s="38">
        <f t="shared" si="592"/>
        <v>25952.570961492889</v>
      </c>
      <c r="AC1169" s="38">
        <f t="shared" si="592"/>
        <v>26710.445881239553</v>
      </c>
      <c r="AD1169" s="38">
        <f t="shared" si="592"/>
        <v>31110.032028259287</v>
      </c>
      <c r="AE1169" s="38">
        <f t="shared" si="592"/>
        <v>0</v>
      </c>
      <c r="AF1169" s="38">
        <f t="shared" si="592"/>
        <v>0</v>
      </c>
      <c r="AG1169" s="38">
        <f t="shared" si="592"/>
        <v>0</v>
      </c>
      <c r="AH1169" s="38">
        <f t="shared" si="592"/>
        <v>0</v>
      </c>
      <c r="AI1169" s="38">
        <f t="shared" si="592"/>
        <v>0</v>
      </c>
    </row>
    <row r="1170" spans="2:36">
      <c r="B1170" t="s">
        <v>359</v>
      </c>
      <c r="E1170" s="55"/>
      <c r="X1170" s="38">
        <f t="shared" ref="X1170:AI1170" si="593">+$D1144*G$630*(1+INFLACION)^($C1144-$G$4)</f>
        <v>0</v>
      </c>
      <c r="Y1170" s="38">
        <f t="shared" si="593"/>
        <v>0</v>
      </c>
      <c r="Z1170" s="38">
        <f t="shared" si="593"/>
        <v>0</v>
      </c>
      <c r="AA1170" s="38">
        <f t="shared" si="593"/>
        <v>16295.161595576074</v>
      </c>
      <c r="AB1170" s="38">
        <f t="shared" si="593"/>
        <v>16800.982656759654</v>
      </c>
      <c r="AC1170" s="38">
        <f t="shared" si="593"/>
        <v>17291.610094077892</v>
      </c>
      <c r="AD1170" s="38">
        <f t="shared" si="593"/>
        <v>20139.781501167894</v>
      </c>
      <c r="AE1170" s="38">
        <f t="shared" si="593"/>
        <v>0</v>
      </c>
      <c r="AF1170" s="38">
        <f t="shared" si="593"/>
        <v>0</v>
      </c>
      <c r="AG1170" s="38">
        <f t="shared" si="593"/>
        <v>0</v>
      </c>
      <c r="AH1170" s="38">
        <f t="shared" si="593"/>
        <v>0</v>
      </c>
      <c r="AI1170" s="38">
        <f t="shared" si="593"/>
        <v>0</v>
      </c>
    </row>
    <row r="1171" spans="2:36">
      <c r="E1171" s="55"/>
    </row>
    <row r="1172" spans="2:36">
      <c r="E1172" s="55"/>
    </row>
    <row r="1173" spans="2:36">
      <c r="C1173" t="s">
        <v>615</v>
      </c>
      <c r="D1173" t="s">
        <v>616</v>
      </c>
      <c r="E1173" s="55" t="s">
        <v>617</v>
      </c>
    </row>
    <row r="1174" spans="2:36">
      <c r="B1174" t="s">
        <v>618</v>
      </c>
      <c r="C1174">
        <f>+C1144+1</f>
        <v>2037</v>
      </c>
      <c r="D1174">
        <f>+VLOOKUP(C1174,$B$545:$C$567,2,FALSE)</f>
        <v>4</v>
      </c>
      <c r="E1174" s="55">
        <f>+HLOOKUP('Proyectos Inmob detall'!C1174,Proyecciones!$G$56:$AG$57,2,FALSE)</f>
        <v>1</v>
      </c>
    </row>
    <row r="1175" spans="2:36">
      <c r="B1175" t="str">
        <f>+B1145</f>
        <v>Arquitectura</v>
      </c>
      <c r="E1175" s="55"/>
    </row>
    <row r="1176" spans="2:36">
      <c r="B1176" t="str">
        <f t="shared" ref="B1176:B1198" si="594">+B1146</f>
        <v>Ventas</v>
      </c>
      <c r="E1176" s="55"/>
      <c r="Y1176" s="38">
        <f t="shared" ref="Y1176:AJ1176" si="595">+$D1174*G$606*(1+INFLACION)^($C1174-$G$4)</f>
        <v>0</v>
      </c>
      <c r="Z1176" s="38">
        <f t="shared" si="595"/>
        <v>181.40034610780816</v>
      </c>
      <c r="AA1176" s="38">
        <f t="shared" si="595"/>
        <v>464.09257005771531</v>
      </c>
      <c r="AB1176" s="38">
        <f t="shared" si="595"/>
        <v>489.09671428861208</v>
      </c>
      <c r="AC1176" s="38">
        <f t="shared" si="595"/>
        <v>478.50155399591699</v>
      </c>
      <c r="AD1176" s="38">
        <f t="shared" si="595"/>
        <v>443.49001866322141</v>
      </c>
      <c r="AE1176" s="38">
        <f t="shared" si="595"/>
        <v>560.49817509010313</v>
      </c>
      <c r="AF1176" s="38">
        <f t="shared" si="595"/>
        <v>0</v>
      </c>
      <c r="AG1176" s="38">
        <f t="shared" si="595"/>
        <v>0</v>
      </c>
      <c r="AH1176" s="38">
        <f t="shared" si="595"/>
        <v>0</v>
      </c>
      <c r="AI1176" s="38">
        <f t="shared" si="595"/>
        <v>0</v>
      </c>
      <c r="AJ1176" s="38">
        <f t="shared" si="595"/>
        <v>0</v>
      </c>
    </row>
    <row r="1177" spans="2:36">
      <c r="B1177" t="str">
        <f t="shared" si="594"/>
        <v>Caja</v>
      </c>
      <c r="E1177" s="55"/>
      <c r="Y1177" s="38">
        <f t="shared" ref="Y1177:AJ1177" si="596">+$D1174*G$607*(1+INFLACION)^($C1174-$G$4)</f>
        <v>0</v>
      </c>
      <c r="Z1177" s="38">
        <f t="shared" si="596"/>
        <v>0</v>
      </c>
      <c r="AA1177" s="38">
        <f t="shared" si="596"/>
        <v>604.66782035936058</v>
      </c>
      <c r="AB1177" s="38">
        <f t="shared" si="596"/>
        <v>0</v>
      </c>
      <c r="AC1177" s="38">
        <f t="shared" si="596"/>
        <v>623.43742364091179</v>
      </c>
      <c r="AD1177" s="38">
        <f t="shared" si="596"/>
        <v>641.64323408296718</v>
      </c>
      <c r="AE1177" s="38">
        <f t="shared" si="596"/>
        <v>747.33090012013736</v>
      </c>
      <c r="AF1177" s="38">
        <f t="shared" si="596"/>
        <v>0</v>
      </c>
      <c r="AG1177" s="38">
        <f t="shared" si="596"/>
        <v>0</v>
      </c>
      <c r="AH1177" s="38">
        <f t="shared" si="596"/>
        <v>0</v>
      </c>
      <c r="AI1177" s="38">
        <f t="shared" si="596"/>
        <v>0</v>
      </c>
      <c r="AJ1177" s="38">
        <f t="shared" si="596"/>
        <v>0</v>
      </c>
    </row>
    <row r="1178" spans="2:36">
      <c r="E1178" s="55"/>
    </row>
    <row r="1179" spans="2:36">
      <c r="B1179" t="str">
        <f t="shared" si="594"/>
        <v>Preconstrucción</v>
      </c>
      <c r="E1179" s="55"/>
    </row>
    <row r="1180" spans="2:36">
      <c r="B1180" t="str">
        <f t="shared" si="594"/>
        <v>Ventas</v>
      </c>
      <c r="E1180" s="55"/>
      <c r="Y1180" s="38">
        <f t="shared" ref="Y1180:AJ1180" si="597">$D1174*G$610*(1+INFLACION)^($C1174-$G$4)</f>
        <v>0</v>
      </c>
      <c r="Z1180" s="38">
        <f t="shared" si="597"/>
        <v>72.560138443123265</v>
      </c>
      <c r="AA1180" s="38">
        <f t="shared" si="597"/>
        <v>185.63702802308609</v>
      </c>
      <c r="AB1180" s="38">
        <f t="shared" si="597"/>
        <v>195.63868571544478</v>
      </c>
      <c r="AC1180" s="38">
        <f t="shared" si="597"/>
        <v>191.40062159836671</v>
      </c>
      <c r="AD1180" s="38">
        <f t="shared" si="597"/>
        <v>177.39600746528856</v>
      </c>
      <c r="AE1180" s="38">
        <f t="shared" si="597"/>
        <v>224.19927003604118</v>
      </c>
      <c r="AF1180" s="38">
        <f t="shared" si="597"/>
        <v>0</v>
      </c>
      <c r="AG1180" s="38">
        <f t="shared" si="597"/>
        <v>0</v>
      </c>
      <c r="AH1180" s="38">
        <f t="shared" si="597"/>
        <v>0</v>
      </c>
      <c r="AI1180" s="38">
        <f t="shared" si="597"/>
        <v>0</v>
      </c>
      <c r="AJ1180" s="38">
        <f t="shared" si="597"/>
        <v>0</v>
      </c>
    </row>
    <row r="1181" spans="2:36">
      <c r="B1181" t="str">
        <f t="shared" si="594"/>
        <v>Caja</v>
      </c>
      <c r="E1181" s="55"/>
      <c r="Y1181" s="38">
        <f t="shared" ref="Y1181:AJ1181" si="598">+$D1174*G$611*(1+INFLACION)^($C1174-$G$4)</f>
        <v>0</v>
      </c>
      <c r="Z1181" s="38">
        <f t="shared" si="598"/>
        <v>0</v>
      </c>
      <c r="AA1181" s="38">
        <f t="shared" si="598"/>
        <v>241.8671281437442</v>
      </c>
      <c r="AB1181" s="38">
        <f t="shared" si="598"/>
        <v>0</v>
      </c>
      <c r="AC1181" s="38">
        <f t="shared" si="598"/>
        <v>249.37496945636471</v>
      </c>
      <c r="AD1181" s="38">
        <f t="shared" si="598"/>
        <v>256.65729363318684</v>
      </c>
      <c r="AE1181" s="38">
        <f t="shared" si="598"/>
        <v>298.93236004805493</v>
      </c>
      <c r="AF1181" s="38">
        <f t="shared" si="598"/>
        <v>0</v>
      </c>
      <c r="AG1181" s="38">
        <f t="shared" si="598"/>
        <v>0</v>
      </c>
      <c r="AH1181" s="38">
        <f t="shared" si="598"/>
        <v>0</v>
      </c>
      <c r="AI1181" s="38">
        <f t="shared" si="598"/>
        <v>0</v>
      </c>
      <c r="AJ1181" s="38">
        <f t="shared" si="598"/>
        <v>0</v>
      </c>
    </row>
    <row r="1182" spans="2:36">
      <c r="E1182" s="55"/>
    </row>
    <row r="1183" spans="2:36">
      <c r="B1183" t="str">
        <f t="shared" si="594"/>
        <v>Construccion</v>
      </c>
      <c r="E1183" s="55"/>
    </row>
    <row r="1184" spans="2:36">
      <c r="B1184" t="str">
        <f t="shared" si="594"/>
        <v>Ventas</v>
      </c>
      <c r="E1184" s="55"/>
      <c r="Y1184" s="38">
        <f t="shared" ref="Y1184:AJ1184" si="599">+$D1174*G$614*(1+INFLACION)^($C1174-$G$4)</f>
        <v>0</v>
      </c>
      <c r="Z1184" s="38">
        <f t="shared" si="599"/>
        <v>19409.83703353547</v>
      </c>
      <c r="AA1184" s="38">
        <f t="shared" si="599"/>
        <v>49657.904996175537</v>
      </c>
      <c r="AB1184" s="38">
        <f t="shared" si="599"/>
        <v>52333.348428881487</v>
      </c>
      <c r="AC1184" s="38">
        <f t="shared" si="599"/>
        <v>51199.666277563127</v>
      </c>
      <c r="AD1184" s="38">
        <f t="shared" si="599"/>
        <v>47453.431996964675</v>
      </c>
      <c r="AE1184" s="38">
        <f t="shared" si="599"/>
        <v>59973.30473464098</v>
      </c>
      <c r="AF1184" s="38">
        <f t="shared" si="599"/>
        <v>0</v>
      </c>
      <c r="AG1184" s="38">
        <f t="shared" si="599"/>
        <v>0</v>
      </c>
      <c r="AH1184" s="38">
        <f t="shared" si="599"/>
        <v>0</v>
      </c>
      <c r="AI1184" s="38">
        <f t="shared" si="599"/>
        <v>0</v>
      </c>
      <c r="AJ1184" s="38">
        <f t="shared" si="599"/>
        <v>0</v>
      </c>
    </row>
    <row r="1185" spans="2:36">
      <c r="B1185" t="str">
        <f t="shared" si="594"/>
        <v>Utilidad</v>
      </c>
      <c r="E1185" s="55"/>
      <c r="Y1185" s="38">
        <f t="shared" ref="Y1185:AJ1185" si="600">+$D1174*G$615*(1+INFLACION)^($C1174-$G$4)</f>
        <v>0</v>
      </c>
      <c r="Z1185" s="38">
        <f t="shared" si="600"/>
        <v>1269.8024227546571</v>
      </c>
      <c r="AA1185" s="38">
        <f t="shared" si="600"/>
        <v>3248.6479904040043</v>
      </c>
      <c r="AB1185" s="38">
        <f t="shared" si="600"/>
        <v>3423.6770000202832</v>
      </c>
      <c r="AC1185" s="38">
        <f t="shared" si="600"/>
        <v>3349.5108779714183</v>
      </c>
      <c r="AD1185" s="38">
        <f t="shared" si="600"/>
        <v>3104.43013064254</v>
      </c>
      <c r="AE1185" s="38">
        <f t="shared" si="600"/>
        <v>3923.4872256307285</v>
      </c>
      <c r="AF1185" s="38">
        <f t="shared" si="600"/>
        <v>0</v>
      </c>
      <c r="AG1185" s="38">
        <f t="shared" si="600"/>
        <v>0</v>
      </c>
      <c r="AH1185" s="38">
        <f t="shared" si="600"/>
        <v>0</v>
      </c>
      <c r="AI1185" s="38">
        <f t="shared" si="600"/>
        <v>0</v>
      </c>
      <c r="AJ1185" s="38">
        <f t="shared" si="600"/>
        <v>0</v>
      </c>
    </row>
    <row r="1186" spans="2:36">
      <c r="B1186" t="str">
        <f t="shared" si="594"/>
        <v>Caja</v>
      </c>
      <c r="E1186" s="55"/>
      <c r="Y1186" s="38">
        <f t="shared" ref="Y1186:AJ1186" si="601">+$D1174*G$616*(1+INFLACION)^($C1174-$G$4)</f>
        <v>0</v>
      </c>
      <c r="Z1186" s="38">
        <f t="shared" si="601"/>
        <v>0</v>
      </c>
      <c r="AA1186" s="38">
        <f t="shared" si="601"/>
        <v>0</v>
      </c>
      <c r="AB1186" s="38">
        <f t="shared" si="601"/>
        <v>4232.6747425155208</v>
      </c>
      <c r="AC1186" s="38">
        <f t="shared" si="601"/>
        <v>4364.0619654863776</v>
      </c>
      <c r="AD1186" s="38">
        <f t="shared" si="601"/>
        <v>2694.9015831484639</v>
      </c>
      <c r="AE1186" s="38">
        <f t="shared" si="601"/>
        <v>7027.9173562732603</v>
      </c>
      <c r="AF1186" s="38">
        <f t="shared" si="601"/>
        <v>0</v>
      </c>
      <c r="AG1186" s="38">
        <f t="shared" si="601"/>
        <v>0</v>
      </c>
      <c r="AH1186" s="38">
        <f t="shared" si="601"/>
        <v>0</v>
      </c>
      <c r="AI1186" s="38">
        <f t="shared" si="601"/>
        <v>0</v>
      </c>
      <c r="AJ1186" s="38">
        <f t="shared" si="601"/>
        <v>0</v>
      </c>
    </row>
    <row r="1187" spans="2:36">
      <c r="E1187" s="55"/>
    </row>
    <row r="1188" spans="2:36">
      <c r="B1188" t="str">
        <f t="shared" si="594"/>
        <v>Inmobiliario</v>
      </c>
      <c r="E1188" s="55"/>
    </row>
    <row r="1189" spans="2:36">
      <c r="B1189" t="str">
        <f t="shared" si="594"/>
        <v>Ventas</v>
      </c>
      <c r="E1189" s="55"/>
      <c r="Y1189" s="38">
        <f t="shared" ref="Y1189:AJ1189" si="602">+$D1174*G$619*(1+INFLACION)^($C1174-$G$4)</f>
        <v>0</v>
      </c>
      <c r="Z1189" s="38">
        <f t="shared" si="602"/>
        <v>10654.858128472411</v>
      </c>
      <c r="AA1189" s="38">
        <f t="shared" si="602"/>
        <v>27224.060944119083</v>
      </c>
      <c r="AB1189" s="38">
        <f t="shared" si="602"/>
        <v>28306.147568437555</v>
      </c>
      <c r="AC1189" s="38">
        <f t="shared" si="602"/>
        <v>27360.96078811189</v>
      </c>
      <c r="AD1189" s="38">
        <f t="shared" si="602"/>
        <v>25123.121229747921</v>
      </c>
      <c r="AE1189" s="38">
        <f t="shared" si="602"/>
        <v>31471.750188121507</v>
      </c>
      <c r="AF1189" s="38">
        <f t="shared" si="602"/>
        <v>0</v>
      </c>
      <c r="AG1189" s="38">
        <f t="shared" si="602"/>
        <v>0</v>
      </c>
      <c r="AH1189" s="38">
        <f t="shared" si="602"/>
        <v>0</v>
      </c>
      <c r="AI1189" s="38">
        <f t="shared" si="602"/>
        <v>0</v>
      </c>
      <c r="AJ1189" s="38">
        <f t="shared" si="602"/>
        <v>0</v>
      </c>
    </row>
    <row r="1190" spans="2:36">
      <c r="B1190" t="str">
        <f t="shared" si="594"/>
        <v>Utilidad</v>
      </c>
      <c r="E1190" s="55"/>
      <c r="Y1190" s="38">
        <f t="shared" ref="Y1190:AJ1190" si="603">$D1174*G$620*(1+INFLACION)^($C1174-$G$4)</f>
        <v>0</v>
      </c>
      <c r="Z1190" s="38">
        <f t="shared" si="603"/>
        <v>2190.0697184454261</v>
      </c>
      <c r="AA1190" s="38">
        <f t="shared" si="603"/>
        <v>5603.0493108037417</v>
      </c>
      <c r="AB1190" s="38">
        <f t="shared" si="603"/>
        <v>5904.9275612629935</v>
      </c>
      <c r="AC1190" s="38">
        <f t="shared" si="603"/>
        <v>5777.0108278223852</v>
      </c>
      <c r="AD1190" s="38">
        <f t="shared" si="603"/>
        <v>5354.3120569895782</v>
      </c>
      <c r="AE1190" s="38">
        <f t="shared" si="603"/>
        <v>6766.9665843924095</v>
      </c>
      <c r="AF1190" s="38">
        <f t="shared" si="603"/>
        <v>0</v>
      </c>
      <c r="AG1190" s="38">
        <f t="shared" si="603"/>
        <v>0</v>
      </c>
      <c r="AH1190" s="38">
        <f t="shared" si="603"/>
        <v>0</v>
      </c>
      <c r="AI1190" s="38">
        <f t="shared" si="603"/>
        <v>0</v>
      </c>
      <c r="AJ1190" s="38">
        <f t="shared" si="603"/>
        <v>0</v>
      </c>
    </row>
    <row r="1191" spans="2:36">
      <c r="B1191" t="str">
        <f t="shared" si="594"/>
        <v>Caja</v>
      </c>
      <c r="E1191" s="55"/>
      <c r="Y1191" s="38">
        <f t="shared" ref="Y1191:AJ1191" si="604">+$D1174*G$621*(1+INFLACION)^($C1174-$G$4)</f>
        <v>0</v>
      </c>
      <c r="Z1191" s="38">
        <f t="shared" si="604"/>
        <v>0</v>
      </c>
      <c r="AA1191" s="38">
        <f t="shared" si="604"/>
        <v>0</v>
      </c>
      <c r="AB1191" s="38">
        <f t="shared" si="604"/>
        <v>7300.2323948180856</v>
      </c>
      <c r="AC1191" s="38">
        <f t="shared" si="604"/>
        <v>7526.8402302283266</v>
      </c>
      <c r="AD1191" s="38">
        <f t="shared" si="604"/>
        <v>4647.9847932881339</v>
      </c>
      <c r="AE1191" s="38">
        <f t="shared" si="604"/>
        <v>12121.278641381985</v>
      </c>
      <c r="AF1191" s="38">
        <f t="shared" si="604"/>
        <v>0</v>
      </c>
      <c r="AG1191" s="38">
        <f t="shared" si="604"/>
        <v>0</v>
      </c>
      <c r="AH1191" s="38">
        <f t="shared" si="604"/>
        <v>0</v>
      </c>
      <c r="AI1191" s="38">
        <f t="shared" si="604"/>
        <v>0</v>
      </c>
      <c r="AJ1191" s="38">
        <f t="shared" si="604"/>
        <v>0</v>
      </c>
    </row>
    <row r="1192" spans="2:36">
      <c r="E1192" s="55"/>
    </row>
    <row r="1193" spans="2:36">
      <c r="B1193" t="str">
        <f t="shared" si="594"/>
        <v>utilidad como inversionista</v>
      </c>
      <c r="E1193" s="55"/>
    </row>
    <row r="1194" spans="2:36">
      <c r="B1194" t="str">
        <f t="shared" si="594"/>
        <v>Ventas</v>
      </c>
      <c r="E1194" s="55"/>
      <c r="Y1194" s="38">
        <f t="shared" ref="Y1194:AJ1194" si="605">+$D1174*G$624*(1+INFLACION)^($C1174-$G$4)*$E1174</f>
        <v>0</v>
      </c>
      <c r="Z1194" s="38">
        <f t="shared" si="605"/>
        <v>1095.0348592227124</v>
      </c>
      <c r="AA1194" s="38">
        <f t="shared" si="605"/>
        <v>2836.7308435755176</v>
      </c>
      <c r="AB1194" s="38">
        <f t="shared" si="605"/>
        <v>3374.2443207217116</v>
      </c>
      <c r="AC1194" s="38">
        <f t="shared" si="605"/>
        <v>3633.1479582762304</v>
      </c>
      <c r="AD1194" s="38">
        <f t="shared" si="605"/>
        <v>3603.1760029312045</v>
      </c>
      <c r="AE1194" s="38">
        <f t="shared" si="605"/>
        <v>4833.5475602802944</v>
      </c>
      <c r="AF1194" s="38">
        <f t="shared" si="605"/>
        <v>0</v>
      </c>
      <c r="AG1194" s="38">
        <f t="shared" si="605"/>
        <v>0</v>
      </c>
      <c r="AH1194" s="38">
        <f t="shared" si="605"/>
        <v>0</v>
      </c>
      <c r="AI1194" s="38">
        <f t="shared" si="605"/>
        <v>0</v>
      </c>
      <c r="AJ1194" s="38">
        <f t="shared" si="605"/>
        <v>0</v>
      </c>
    </row>
    <row r="1195" spans="2:36">
      <c r="B1195" t="str">
        <f t="shared" si="594"/>
        <v>Caja</v>
      </c>
      <c r="E1195" s="55"/>
      <c r="Y1195" s="38">
        <f t="shared" ref="Y1195:AJ1195" si="606">+$D1174*G$625*(1+INFLACION)^($C1174-$G$4)*$E1174</f>
        <v>0</v>
      </c>
      <c r="Z1195" s="38">
        <f t="shared" si="606"/>
        <v>0</v>
      </c>
      <c r="AA1195" s="38">
        <f t="shared" si="606"/>
        <v>0</v>
      </c>
      <c r="AB1195" s="38">
        <f t="shared" si="606"/>
        <v>0</v>
      </c>
      <c r="AC1195" s="38">
        <f t="shared" si="606"/>
        <v>0</v>
      </c>
      <c r="AD1195" s="38">
        <f t="shared" si="606"/>
        <v>4301.0515601304705</v>
      </c>
      <c r="AE1195" s="38">
        <f t="shared" si="606"/>
        <v>8630.0999045034732</v>
      </c>
      <c r="AF1195" s="38">
        <f t="shared" si="606"/>
        <v>6444.7300803737262</v>
      </c>
      <c r="AG1195" s="38">
        <f t="shared" si="606"/>
        <v>0</v>
      </c>
      <c r="AH1195" s="38">
        <f t="shared" si="606"/>
        <v>0</v>
      </c>
      <c r="AI1195" s="38">
        <f t="shared" si="606"/>
        <v>0</v>
      </c>
      <c r="AJ1195" s="38">
        <f t="shared" si="606"/>
        <v>0</v>
      </c>
    </row>
    <row r="1196" spans="2:36">
      <c r="E1196" s="55"/>
    </row>
    <row r="1197" spans="2:36">
      <c r="B1197" t="str">
        <f t="shared" si="594"/>
        <v>Inversiones en proyectos caja</v>
      </c>
      <c r="E1197" s="55"/>
      <c r="Y1197" s="38">
        <f t="shared" ref="Y1197:AJ1197" si="607">$D1174*G$627*(1+INFLACION)^($C1174-$G$4)*$E1174</f>
        <v>11344.572486119785</v>
      </c>
      <c r="Z1197" s="38">
        <f t="shared" si="607"/>
        <v>3241.3064246056529</v>
      </c>
      <c r="AA1197" s="38">
        <f t="shared" si="607"/>
        <v>0</v>
      </c>
      <c r="AB1197" s="38">
        <f t="shared" si="607"/>
        <v>0</v>
      </c>
      <c r="AC1197" s="38">
        <f t="shared" si="607"/>
        <v>0</v>
      </c>
      <c r="AD1197" s="38">
        <f t="shared" si="607"/>
        <v>0</v>
      </c>
      <c r="AE1197" s="38">
        <f t="shared" si="607"/>
        <v>0</v>
      </c>
      <c r="AF1197" s="38">
        <f t="shared" si="607"/>
        <v>0</v>
      </c>
      <c r="AG1197" s="38">
        <f t="shared" si="607"/>
        <v>0</v>
      </c>
      <c r="AH1197" s="38">
        <f t="shared" si="607"/>
        <v>0</v>
      </c>
      <c r="AI1197" s="38">
        <f t="shared" si="607"/>
        <v>0</v>
      </c>
      <c r="AJ1197" s="38">
        <f t="shared" si="607"/>
        <v>0</v>
      </c>
    </row>
    <row r="1198" spans="2:36">
      <c r="B1198" t="str">
        <f t="shared" si="594"/>
        <v>DesInversiones en proyectos caja</v>
      </c>
      <c r="E1198" s="55"/>
      <c r="Y1198" s="38">
        <f t="shared" ref="Y1198:AJ1198" si="608">+$D1174*G$628*(1+INFLACION)^($C1174-$G$4)*$E1174</f>
        <v>0</v>
      </c>
      <c r="Z1198" s="38">
        <f t="shared" si="608"/>
        <v>0</v>
      </c>
      <c r="AA1198" s="38">
        <f t="shared" si="608"/>
        <v>0</v>
      </c>
      <c r="AB1198" s="38">
        <f t="shared" si="608"/>
        <v>0</v>
      </c>
      <c r="AC1198" s="38">
        <f t="shared" si="608"/>
        <v>11344.572486119785</v>
      </c>
      <c r="AD1198" s="38">
        <f t="shared" si="608"/>
        <v>3241.3064246056529</v>
      </c>
      <c r="AE1198" s="38">
        <f t="shared" si="608"/>
        <v>0</v>
      </c>
      <c r="AF1198" s="38">
        <f t="shared" si="608"/>
        <v>0</v>
      </c>
      <c r="AG1198" s="38">
        <f t="shared" si="608"/>
        <v>0</v>
      </c>
      <c r="AH1198" s="38">
        <f t="shared" si="608"/>
        <v>0</v>
      </c>
      <c r="AI1198" s="38">
        <f t="shared" si="608"/>
        <v>0</v>
      </c>
      <c r="AJ1198" s="38">
        <f t="shared" si="608"/>
        <v>0</v>
      </c>
    </row>
    <row r="1199" spans="2:36">
      <c r="B1199" t="str">
        <f>+B1169</f>
        <v>Escrituración</v>
      </c>
      <c r="Y1199" s="38">
        <f t="shared" ref="Y1199:AJ1199" si="609">+$D1174*G$629*(1+INFLACION)^($C1174-$G$4)</f>
        <v>0</v>
      </c>
      <c r="Z1199" s="38">
        <f t="shared" si="609"/>
        <v>0</v>
      </c>
      <c r="AA1199" s="38">
        <f t="shared" si="609"/>
        <v>0</v>
      </c>
      <c r="AB1199" s="38">
        <f t="shared" si="609"/>
        <v>104712.30168593844</v>
      </c>
      <c r="AC1199" s="38">
        <f t="shared" si="609"/>
        <v>107962.69519981042</v>
      </c>
      <c r="AD1199" s="38">
        <f t="shared" si="609"/>
        <v>111115.45486595656</v>
      </c>
      <c r="AE1199" s="38">
        <f t="shared" si="609"/>
        <v>129417.73323755864</v>
      </c>
      <c r="AF1199" s="38">
        <f t="shared" si="609"/>
        <v>0</v>
      </c>
      <c r="AG1199" s="38">
        <f t="shared" si="609"/>
        <v>0</v>
      </c>
      <c r="AH1199" s="38">
        <f t="shared" si="609"/>
        <v>0</v>
      </c>
      <c r="AI1199" s="38">
        <f t="shared" si="609"/>
        <v>0</v>
      </c>
      <c r="AJ1199" s="38">
        <f t="shared" si="609"/>
        <v>0</v>
      </c>
    </row>
    <row r="1200" spans="2:36">
      <c r="B1200" t="s">
        <v>359</v>
      </c>
      <c r="E1200" s="55"/>
      <c r="Y1200" s="38">
        <f t="shared" ref="Y1200:AJ1200" si="610">+$D1174*G$630*(1+INFLACION)^($C1174-$G$4)</f>
        <v>0</v>
      </c>
      <c r="Z1200" s="38">
        <f t="shared" si="610"/>
        <v>0</v>
      </c>
      <c r="AA1200" s="38">
        <f t="shared" si="610"/>
        <v>0</v>
      </c>
      <c r="AB1200" s="38">
        <f t="shared" si="610"/>
        <v>67787.872237596472</v>
      </c>
      <c r="AC1200" s="38">
        <f t="shared" si="610"/>
        <v>69892.087852120167</v>
      </c>
      <c r="AD1200" s="38">
        <f t="shared" si="610"/>
        <v>71933.097991364033</v>
      </c>
      <c r="AE1200" s="38">
        <f t="shared" si="610"/>
        <v>83781.491044858456</v>
      </c>
      <c r="AF1200" s="38">
        <f t="shared" si="610"/>
        <v>0</v>
      </c>
      <c r="AG1200" s="38">
        <f t="shared" si="610"/>
        <v>0</v>
      </c>
      <c r="AH1200" s="38">
        <f t="shared" si="610"/>
        <v>0</v>
      </c>
      <c r="AI1200" s="38">
        <f t="shared" si="610"/>
        <v>0</v>
      </c>
      <c r="AJ1200" s="38">
        <f t="shared" si="610"/>
        <v>0</v>
      </c>
    </row>
    <row r="1201" spans="2:37">
      <c r="E1201" s="55"/>
    </row>
    <row r="1202" spans="2:37">
      <c r="E1202" s="55"/>
    </row>
    <row r="1203" spans="2:37">
      <c r="C1203" t="s">
        <v>615</v>
      </c>
      <c r="D1203" t="s">
        <v>616</v>
      </c>
      <c r="E1203" s="55" t="s">
        <v>617</v>
      </c>
    </row>
    <row r="1204" spans="2:37">
      <c r="B1204" t="s">
        <v>618</v>
      </c>
      <c r="C1204">
        <f>+C1174+1</f>
        <v>2038</v>
      </c>
      <c r="D1204">
        <f>+VLOOKUP(C1204,$B$545:$C$567,2,FALSE)</f>
        <v>4</v>
      </c>
      <c r="E1204" s="55">
        <f>+HLOOKUP('Proyectos Inmob detall'!C1204,Proyecciones!$G$56:$AG$57,2,FALSE)</f>
        <v>1</v>
      </c>
    </row>
    <row r="1205" spans="2:37">
      <c r="B1205" t="str">
        <f>+B1175</f>
        <v>Arquitectura</v>
      </c>
      <c r="E1205" s="55"/>
    </row>
    <row r="1206" spans="2:37">
      <c r="B1206" t="str">
        <f t="shared" ref="B1206:B1228" si="611">+B1176</f>
        <v>Ventas</v>
      </c>
      <c r="E1206" s="55"/>
      <c r="Z1206" s="38">
        <f t="shared" ref="Z1206:AK1206" si="612">+$D1204*G$606*(1+INFLACION)^($C1204-$G$4)</f>
        <v>0</v>
      </c>
      <c r="AA1206" s="38">
        <f t="shared" si="612"/>
        <v>188.65635995212048</v>
      </c>
      <c r="AB1206" s="38">
        <f t="shared" si="612"/>
        <v>482.65627286002393</v>
      </c>
      <c r="AC1206" s="38">
        <f t="shared" si="612"/>
        <v>508.66058286015658</v>
      </c>
      <c r="AD1206" s="38">
        <f t="shared" si="612"/>
        <v>497.6416161557537</v>
      </c>
      <c r="AE1206" s="38">
        <f t="shared" si="612"/>
        <v>461.22961940975023</v>
      </c>
      <c r="AF1206" s="38">
        <f t="shared" si="612"/>
        <v>582.91810209370726</v>
      </c>
      <c r="AG1206" s="38">
        <f t="shared" si="612"/>
        <v>0</v>
      </c>
      <c r="AH1206" s="38">
        <f t="shared" si="612"/>
        <v>0</v>
      </c>
      <c r="AI1206" s="38">
        <f t="shared" si="612"/>
        <v>0</v>
      </c>
      <c r="AJ1206" s="38">
        <f t="shared" si="612"/>
        <v>0</v>
      </c>
      <c r="AK1206" s="38">
        <f t="shared" si="612"/>
        <v>0</v>
      </c>
    </row>
    <row r="1207" spans="2:37">
      <c r="B1207" t="str">
        <f t="shared" si="611"/>
        <v>Caja</v>
      </c>
      <c r="E1207" s="55"/>
      <c r="Z1207" s="38">
        <f t="shared" ref="Z1207:AK1207" si="613">+$D1204*G$607*(1+INFLACION)^($C1204-$G$4)</f>
        <v>0</v>
      </c>
      <c r="AA1207" s="38">
        <f t="shared" si="613"/>
        <v>0</v>
      </c>
      <c r="AB1207" s="38">
        <f t="shared" si="613"/>
        <v>628.85453317373492</v>
      </c>
      <c r="AC1207" s="38">
        <f t="shared" si="613"/>
        <v>0</v>
      </c>
      <c r="AD1207" s="38">
        <f t="shared" si="613"/>
        <v>648.37492058654823</v>
      </c>
      <c r="AE1207" s="38">
        <f t="shared" si="613"/>
        <v>667.30896344628582</v>
      </c>
      <c r="AF1207" s="38">
        <f t="shared" si="613"/>
        <v>777.2241361249429</v>
      </c>
      <c r="AG1207" s="38">
        <f t="shared" si="613"/>
        <v>0</v>
      </c>
      <c r="AH1207" s="38">
        <f t="shared" si="613"/>
        <v>0</v>
      </c>
      <c r="AI1207" s="38">
        <f t="shared" si="613"/>
        <v>0</v>
      </c>
      <c r="AJ1207" s="38">
        <f t="shared" si="613"/>
        <v>0</v>
      </c>
      <c r="AK1207" s="38">
        <f t="shared" si="613"/>
        <v>0</v>
      </c>
    </row>
    <row r="1208" spans="2:37">
      <c r="E1208" s="55"/>
    </row>
    <row r="1209" spans="2:37">
      <c r="B1209" t="str">
        <f t="shared" si="611"/>
        <v>Preconstrucción</v>
      </c>
      <c r="E1209" s="55"/>
    </row>
    <row r="1210" spans="2:37">
      <c r="B1210" t="str">
        <f t="shared" si="611"/>
        <v>Ventas</v>
      </c>
      <c r="E1210" s="55"/>
      <c r="Z1210" s="38">
        <f t="shared" ref="Z1210:AK1210" si="614">$D1204*G$610*(1+INFLACION)^($C1204-$G$4)</f>
        <v>0</v>
      </c>
      <c r="AA1210" s="38">
        <f t="shared" si="614"/>
        <v>75.462543980848196</v>
      </c>
      <c r="AB1210" s="38">
        <f t="shared" si="614"/>
        <v>193.06250914400954</v>
      </c>
      <c r="AC1210" s="38">
        <f t="shared" si="614"/>
        <v>203.46423314406258</v>
      </c>
      <c r="AD1210" s="38">
        <f t="shared" si="614"/>
        <v>199.05664646230139</v>
      </c>
      <c r="AE1210" s="38">
        <f t="shared" si="614"/>
        <v>184.4918477639001</v>
      </c>
      <c r="AF1210" s="38">
        <f t="shared" si="614"/>
        <v>233.16724083748281</v>
      </c>
      <c r="AG1210" s="38">
        <f t="shared" si="614"/>
        <v>0</v>
      </c>
      <c r="AH1210" s="38">
        <f t="shared" si="614"/>
        <v>0</v>
      </c>
      <c r="AI1210" s="38">
        <f t="shared" si="614"/>
        <v>0</v>
      </c>
      <c r="AJ1210" s="38">
        <f t="shared" si="614"/>
        <v>0</v>
      </c>
      <c r="AK1210" s="38">
        <f t="shared" si="614"/>
        <v>0</v>
      </c>
    </row>
    <row r="1211" spans="2:37">
      <c r="B1211" t="str">
        <f t="shared" si="611"/>
        <v>Caja</v>
      </c>
      <c r="E1211" s="55"/>
      <c r="Z1211" s="38">
        <f t="shared" ref="Z1211:AK1211" si="615">+$D1204*G$611*(1+INFLACION)^($C1204-$G$4)</f>
        <v>0</v>
      </c>
      <c r="AA1211" s="38">
        <f t="shared" si="615"/>
        <v>0</v>
      </c>
      <c r="AB1211" s="38">
        <f t="shared" si="615"/>
        <v>251.54181326949396</v>
      </c>
      <c r="AC1211" s="38">
        <f t="shared" si="615"/>
        <v>0</v>
      </c>
      <c r="AD1211" s="38">
        <f t="shared" si="615"/>
        <v>259.34996823461927</v>
      </c>
      <c r="AE1211" s="38">
        <f t="shared" si="615"/>
        <v>266.9235853785143</v>
      </c>
      <c r="AF1211" s="38">
        <f t="shared" si="615"/>
        <v>310.88965444997712</v>
      </c>
      <c r="AG1211" s="38">
        <f t="shared" si="615"/>
        <v>0</v>
      </c>
      <c r="AH1211" s="38">
        <f t="shared" si="615"/>
        <v>0</v>
      </c>
      <c r="AI1211" s="38">
        <f t="shared" si="615"/>
        <v>0</v>
      </c>
      <c r="AJ1211" s="38">
        <f t="shared" si="615"/>
        <v>0</v>
      </c>
      <c r="AK1211" s="38">
        <f t="shared" si="615"/>
        <v>0</v>
      </c>
    </row>
    <row r="1212" spans="2:37">
      <c r="E1212" s="55"/>
    </row>
    <row r="1213" spans="2:37">
      <c r="B1213" t="str">
        <f t="shared" si="611"/>
        <v>Construccion</v>
      </c>
      <c r="E1213" s="55"/>
    </row>
    <row r="1214" spans="2:37">
      <c r="B1214" t="str">
        <f t="shared" si="611"/>
        <v>Ventas</v>
      </c>
      <c r="E1214" s="55"/>
      <c r="Z1214" s="38">
        <f t="shared" ref="Z1214:AK1214" si="616">+$D1204*G$614*(1+INFLACION)^($C1204-$G$4)</f>
        <v>0</v>
      </c>
      <c r="AA1214" s="38">
        <f t="shared" si="616"/>
        <v>20186.23051487689</v>
      </c>
      <c r="AB1214" s="38">
        <f t="shared" si="616"/>
        <v>51644.221196022554</v>
      </c>
      <c r="AC1214" s="38">
        <f t="shared" si="616"/>
        <v>54426.682366036744</v>
      </c>
      <c r="AD1214" s="38">
        <f t="shared" si="616"/>
        <v>53247.652928665651</v>
      </c>
      <c r="AE1214" s="38">
        <f t="shared" si="616"/>
        <v>49351.569276843256</v>
      </c>
      <c r="AF1214" s="38">
        <f t="shared" si="616"/>
        <v>62372.23692402662</v>
      </c>
      <c r="AG1214" s="38">
        <f t="shared" si="616"/>
        <v>0</v>
      </c>
      <c r="AH1214" s="38">
        <f t="shared" si="616"/>
        <v>0</v>
      </c>
      <c r="AI1214" s="38">
        <f t="shared" si="616"/>
        <v>0</v>
      </c>
      <c r="AJ1214" s="38">
        <f t="shared" si="616"/>
        <v>0</v>
      </c>
      <c r="AK1214" s="38">
        <f t="shared" si="616"/>
        <v>0</v>
      </c>
    </row>
    <row r="1215" spans="2:37">
      <c r="B1215" t="str">
        <f t="shared" si="611"/>
        <v>Utilidad</v>
      </c>
      <c r="E1215" s="55"/>
      <c r="Z1215" s="38">
        <f t="shared" ref="Z1215:AK1215" si="617">+$D1204*G$615*(1+INFLACION)^($C1204-$G$4)</f>
        <v>0</v>
      </c>
      <c r="AA1215" s="38">
        <f t="shared" si="617"/>
        <v>1320.5945196648431</v>
      </c>
      <c r="AB1215" s="38">
        <f t="shared" si="617"/>
        <v>3378.593910020164</v>
      </c>
      <c r="AC1215" s="38">
        <f t="shared" si="617"/>
        <v>3560.6240800210944</v>
      </c>
      <c r="AD1215" s="38">
        <f t="shared" si="617"/>
        <v>3483.4913130902751</v>
      </c>
      <c r="AE1215" s="38">
        <f t="shared" si="617"/>
        <v>3228.6073358682411</v>
      </c>
      <c r="AF1215" s="38">
        <f t="shared" si="617"/>
        <v>4080.4267146559573</v>
      </c>
      <c r="AG1215" s="38">
        <f t="shared" si="617"/>
        <v>0</v>
      </c>
      <c r="AH1215" s="38">
        <f t="shared" si="617"/>
        <v>0</v>
      </c>
      <c r="AI1215" s="38">
        <f t="shared" si="617"/>
        <v>0</v>
      </c>
      <c r="AJ1215" s="38">
        <f t="shared" si="617"/>
        <v>0</v>
      </c>
      <c r="AK1215" s="38">
        <f t="shared" si="617"/>
        <v>0</v>
      </c>
    </row>
    <row r="1216" spans="2:37">
      <c r="B1216" t="str">
        <f t="shared" si="611"/>
        <v>Caja</v>
      </c>
      <c r="E1216" s="55"/>
      <c r="Z1216" s="38">
        <f t="shared" ref="Z1216:AK1216" si="618">+$D1204*G$616*(1+INFLACION)^($C1204-$G$4)</f>
        <v>0</v>
      </c>
      <c r="AA1216" s="38">
        <f t="shared" si="618"/>
        <v>0</v>
      </c>
      <c r="AB1216" s="38">
        <f t="shared" si="618"/>
        <v>0</v>
      </c>
      <c r="AC1216" s="38">
        <f t="shared" si="618"/>
        <v>4401.9817322161416</v>
      </c>
      <c r="AD1216" s="38">
        <f t="shared" si="618"/>
        <v>4538.6244441058325</v>
      </c>
      <c r="AE1216" s="38">
        <f t="shared" si="618"/>
        <v>2802.6976464744025</v>
      </c>
      <c r="AF1216" s="38">
        <f t="shared" si="618"/>
        <v>7309.0340505241911</v>
      </c>
      <c r="AG1216" s="38">
        <f t="shared" si="618"/>
        <v>0</v>
      </c>
      <c r="AH1216" s="38">
        <f t="shared" si="618"/>
        <v>0</v>
      </c>
      <c r="AI1216" s="38">
        <f t="shared" si="618"/>
        <v>0</v>
      </c>
      <c r="AJ1216" s="38">
        <f t="shared" si="618"/>
        <v>0</v>
      </c>
      <c r="AK1216" s="38">
        <f t="shared" si="618"/>
        <v>0</v>
      </c>
    </row>
    <row r="1217" spans="2:37">
      <c r="E1217" s="55"/>
    </row>
    <row r="1218" spans="2:37">
      <c r="B1218" t="str">
        <f t="shared" si="611"/>
        <v>Inmobiliario</v>
      </c>
      <c r="E1218" s="55"/>
    </row>
    <row r="1219" spans="2:37">
      <c r="B1219" t="str">
        <f t="shared" si="611"/>
        <v>Ventas</v>
      </c>
      <c r="E1219" s="55"/>
      <c r="Z1219" s="38">
        <f t="shared" ref="Z1219:AK1219" si="619">+$D1204*G$619*(1+INFLACION)^($C1204-$G$4)</f>
        <v>0</v>
      </c>
      <c r="AA1219" s="38">
        <f t="shared" si="619"/>
        <v>11081.052453611308</v>
      </c>
      <c r="AB1219" s="38">
        <f t="shared" si="619"/>
        <v>28313.023381883846</v>
      </c>
      <c r="AC1219" s="38">
        <f t="shared" si="619"/>
        <v>29438.393471175055</v>
      </c>
      <c r="AD1219" s="38">
        <f t="shared" si="619"/>
        <v>28455.399219636365</v>
      </c>
      <c r="AE1219" s="38">
        <f t="shared" si="619"/>
        <v>26128.046078937838</v>
      </c>
      <c r="AF1219" s="38">
        <f t="shared" si="619"/>
        <v>32730.620195646366</v>
      </c>
      <c r="AG1219" s="38">
        <f t="shared" si="619"/>
        <v>0</v>
      </c>
      <c r="AH1219" s="38">
        <f t="shared" si="619"/>
        <v>0</v>
      </c>
      <c r="AI1219" s="38">
        <f t="shared" si="619"/>
        <v>0</v>
      </c>
      <c r="AJ1219" s="38">
        <f t="shared" si="619"/>
        <v>0</v>
      </c>
      <c r="AK1219" s="38">
        <f t="shared" si="619"/>
        <v>0</v>
      </c>
    </row>
    <row r="1220" spans="2:37">
      <c r="B1220" t="str">
        <f t="shared" si="611"/>
        <v>Utilidad</v>
      </c>
      <c r="E1220" s="55"/>
      <c r="Z1220" s="38">
        <f t="shared" ref="Z1220:AK1220" si="620">$D1204*G$620*(1+INFLACION)^($C1204-$G$4)</f>
        <v>0</v>
      </c>
      <c r="AA1220" s="38">
        <f t="shared" si="620"/>
        <v>2277.6725071832429</v>
      </c>
      <c r="AB1220" s="38">
        <f t="shared" si="620"/>
        <v>5827.1712832358908</v>
      </c>
      <c r="AC1220" s="38">
        <f t="shared" si="620"/>
        <v>6141.1246637135127</v>
      </c>
      <c r="AD1220" s="38">
        <f t="shared" si="620"/>
        <v>6008.0912609352799</v>
      </c>
      <c r="AE1220" s="38">
        <f t="shared" si="620"/>
        <v>5568.4845392691614</v>
      </c>
      <c r="AF1220" s="38">
        <f t="shared" si="620"/>
        <v>7037.645247768105</v>
      </c>
      <c r="AG1220" s="38">
        <f t="shared" si="620"/>
        <v>0</v>
      </c>
      <c r="AH1220" s="38">
        <f t="shared" si="620"/>
        <v>0</v>
      </c>
      <c r="AI1220" s="38">
        <f t="shared" si="620"/>
        <v>0</v>
      </c>
      <c r="AJ1220" s="38">
        <f t="shared" si="620"/>
        <v>0</v>
      </c>
      <c r="AK1220" s="38">
        <f t="shared" si="620"/>
        <v>0</v>
      </c>
    </row>
    <row r="1221" spans="2:37">
      <c r="B1221" t="str">
        <f t="shared" si="611"/>
        <v>Caja</v>
      </c>
      <c r="E1221" s="55"/>
      <c r="Z1221" s="38">
        <f t="shared" ref="Z1221:AK1221" si="621">+$D1204*G$621*(1+INFLACION)^($C1204-$G$4)</f>
        <v>0</v>
      </c>
      <c r="AA1221" s="38">
        <f t="shared" si="621"/>
        <v>0</v>
      </c>
      <c r="AB1221" s="38">
        <f t="shared" si="621"/>
        <v>0</v>
      </c>
      <c r="AC1221" s="38">
        <f t="shared" si="621"/>
        <v>7592.2416906108092</v>
      </c>
      <c r="AD1221" s="38">
        <f t="shared" si="621"/>
        <v>7827.9138394374586</v>
      </c>
      <c r="AE1221" s="38">
        <f t="shared" si="621"/>
        <v>4833.9041850196591</v>
      </c>
      <c r="AF1221" s="38">
        <f t="shared" si="621"/>
        <v>12606.129787037264</v>
      </c>
      <c r="AG1221" s="38">
        <f t="shared" si="621"/>
        <v>0</v>
      </c>
      <c r="AH1221" s="38">
        <f t="shared" si="621"/>
        <v>0</v>
      </c>
      <c r="AI1221" s="38">
        <f t="shared" si="621"/>
        <v>0</v>
      </c>
      <c r="AJ1221" s="38">
        <f t="shared" si="621"/>
        <v>0</v>
      </c>
      <c r="AK1221" s="38">
        <f t="shared" si="621"/>
        <v>0</v>
      </c>
    </row>
    <row r="1222" spans="2:37">
      <c r="E1222" s="55"/>
    </row>
    <row r="1223" spans="2:37">
      <c r="B1223" t="str">
        <f t="shared" si="611"/>
        <v>utilidad como inversionista</v>
      </c>
      <c r="E1223" s="55"/>
    </row>
    <row r="1224" spans="2:37">
      <c r="B1224" t="str">
        <f t="shared" si="611"/>
        <v>Ventas</v>
      </c>
      <c r="E1224" s="55"/>
      <c r="Z1224" s="38">
        <f t="shared" ref="Z1224:AK1224" si="622">+$D1204*G$624*(1+INFLACION)^($C1204-$G$4)*$E1204</f>
        <v>0</v>
      </c>
      <c r="AA1224" s="38">
        <f t="shared" si="622"/>
        <v>1138.8362535916208</v>
      </c>
      <c r="AB1224" s="38">
        <f t="shared" si="622"/>
        <v>2950.2000773185382</v>
      </c>
      <c r="AC1224" s="38">
        <f t="shared" si="622"/>
        <v>3509.2140935505799</v>
      </c>
      <c r="AD1224" s="38">
        <f t="shared" si="622"/>
        <v>3778.4738766072792</v>
      </c>
      <c r="AE1224" s="38">
        <f t="shared" si="622"/>
        <v>3747.3030430484528</v>
      </c>
      <c r="AF1224" s="38">
        <f t="shared" si="622"/>
        <v>5026.8894626915062</v>
      </c>
      <c r="AG1224" s="38">
        <f t="shared" si="622"/>
        <v>0</v>
      </c>
      <c r="AH1224" s="38">
        <f t="shared" si="622"/>
        <v>0</v>
      </c>
      <c r="AI1224" s="38">
        <f t="shared" si="622"/>
        <v>0</v>
      </c>
      <c r="AJ1224" s="38">
        <f t="shared" si="622"/>
        <v>0</v>
      </c>
      <c r="AK1224" s="38">
        <f t="shared" si="622"/>
        <v>0</v>
      </c>
    </row>
    <row r="1225" spans="2:37">
      <c r="B1225" t="str">
        <f t="shared" si="611"/>
        <v>Caja</v>
      </c>
      <c r="E1225" s="55"/>
      <c r="Z1225" s="38">
        <f t="shared" ref="Z1225:AK1225" si="623">+$D1204*G$625*(1+INFLACION)^($C1204-$G$4)*$E1204</f>
        <v>0</v>
      </c>
      <c r="AA1225" s="38">
        <f t="shared" si="623"/>
        <v>0</v>
      </c>
      <c r="AB1225" s="38">
        <f t="shared" si="623"/>
        <v>0</v>
      </c>
      <c r="AC1225" s="38">
        <f t="shared" si="623"/>
        <v>0</v>
      </c>
      <c r="AD1225" s="38">
        <f t="shared" si="623"/>
        <v>0</v>
      </c>
      <c r="AE1225" s="38">
        <f t="shared" si="623"/>
        <v>4473.0936225356891</v>
      </c>
      <c r="AF1225" s="38">
        <f t="shared" si="623"/>
        <v>8975.3039006836116</v>
      </c>
      <c r="AG1225" s="38">
        <f t="shared" si="623"/>
        <v>6702.5192835886755</v>
      </c>
      <c r="AH1225" s="38">
        <f t="shared" si="623"/>
        <v>0</v>
      </c>
      <c r="AI1225" s="38">
        <f t="shared" si="623"/>
        <v>0</v>
      </c>
      <c r="AJ1225" s="38">
        <f t="shared" si="623"/>
        <v>0</v>
      </c>
      <c r="AK1225" s="38">
        <f t="shared" si="623"/>
        <v>0</v>
      </c>
    </row>
    <row r="1226" spans="2:37">
      <c r="E1226" s="55"/>
    </row>
    <row r="1227" spans="2:37">
      <c r="B1227" t="str">
        <f t="shared" si="611"/>
        <v>Inversiones en proyectos caja</v>
      </c>
      <c r="E1227" s="55"/>
      <c r="Z1227" s="38">
        <f t="shared" ref="Z1227:AK1227" si="624">$D1204*G$627*(1+INFLACION)^($C1204-$G$4)*$E1204</f>
        <v>11798.355385564575</v>
      </c>
      <c r="AA1227" s="38">
        <f t="shared" si="624"/>
        <v>3370.9586815898788</v>
      </c>
      <c r="AB1227" s="38">
        <f t="shared" si="624"/>
        <v>0</v>
      </c>
      <c r="AC1227" s="38">
        <f t="shared" si="624"/>
        <v>0</v>
      </c>
      <c r="AD1227" s="38">
        <f t="shared" si="624"/>
        <v>0</v>
      </c>
      <c r="AE1227" s="38">
        <f t="shared" si="624"/>
        <v>0</v>
      </c>
      <c r="AF1227" s="38">
        <f t="shared" si="624"/>
        <v>0</v>
      </c>
      <c r="AG1227" s="38">
        <f t="shared" si="624"/>
        <v>0</v>
      </c>
      <c r="AH1227" s="38">
        <f t="shared" si="624"/>
        <v>0</v>
      </c>
      <c r="AI1227" s="38">
        <f t="shared" si="624"/>
        <v>0</v>
      </c>
      <c r="AJ1227" s="38">
        <f t="shared" si="624"/>
        <v>0</v>
      </c>
      <c r="AK1227" s="38">
        <f t="shared" si="624"/>
        <v>0</v>
      </c>
    </row>
    <row r="1228" spans="2:37">
      <c r="B1228" t="str">
        <f t="shared" si="611"/>
        <v>DesInversiones en proyectos caja</v>
      </c>
      <c r="E1228" s="55"/>
      <c r="Z1228" s="38">
        <f t="shared" ref="Z1228:AK1228" si="625">+$D1204*G$628*(1+INFLACION)^($C1204-$G$4)*$E1204</f>
        <v>0</v>
      </c>
      <c r="AA1228" s="38">
        <f t="shared" si="625"/>
        <v>0</v>
      </c>
      <c r="AB1228" s="38">
        <f t="shared" si="625"/>
        <v>0</v>
      </c>
      <c r="AC1228" s="38">
        <f t="shared" si="625"/>
        <v>0</v>
      </c>
      <c r="AD1228" s="38">
        <f t="shared" si="625"/>
        <v>11798.355385564575</v>
      </c>
      <c r="AE1228" s="38">
        <f t="shared" si="625"/>
        <v>3370.9586815898788</v>
      </c>
      <c r="AF1228" s="38">
        <f t="shared" si="625"/>
        <v>0</v>
      </c>
      <c r="AG1228" s="38">
        <f t="shared" si="625"/>
        <v>0</v>
      </c>
      <c r="AH1228" s="38">
        <f t="shared" si="625"/>
        <v>0</v>
      </c>
      <c r="AI1228" s="38">
        <f t="shared" si="625"/>
        <v>0</v>
      </c>
      <c r="AJ1228" s="38">
        <f t="shared" si="625"/>
        <v>0</v>
      </c>
      <c r="AK1228" s="38">
        <f t="shared" si="625"/>
        <v>0</v>
      </c>
    </row>
    <row r="1229" spans="2:37">
      <c r="B1229" t="str">
        <f>+B1199</f>
        <v>Escrituración</v>
      </c>
      <c r="Z1229" s="38">
        <f t="shared" ref="Z1229:AK1229" si="626">+$D1204*G$629*(1+INFLACION)^($C1204-$G$4)</f>
        <v>0</v>
      </c>
      <c r="AA1229" s="38">
        <f t="shared" si="626"/>
        <v>0</v>
      </c>
      <c r="AB1229" s="38">
        <f t="shared" si="626"/>
        <v>0</v>
      </c>
      <c r="AC1229" s="38">
        <f t="shared" si="626"/>
        <v>108900.79375337597</v>
      </c>
      <c r="AD1229" s="38">
        <f t="shared" si="626"/>
        <v>112281.20300780283</v>
      </c>
      <c r="AE1229" s="38">
        <f t="shared" si="626"/>
        <v>115560.07306059482</v>
      </c>
      <c r="AF1229" s="38">
        <f t="shared" si="626"/>
        <v>134594.44256706099</v>
      </c>
      <c r="AG1229" s="38">
        <f t="shared" si="626"/>
        <v>0</v>
      </c>
      <c r="AH1229" s="38">
        <f t="shared" si="626"/>
        <v>0</v>
      </c>
      <c r="AI1229" s="38">
        <f t="shared" si="626"/>
        <v>0</v>
      </c>
      <c r="AJ1229" s="38">
        <f t="shared" si="626"/>
        <v>0</v>
      </c>
      <c r="AK1229" s="38">
        <f t="shared" si="626"/>
        <v>0</v>
      </c>
    </row>
    <row r="1230" spans="2:37">
      <c r="B1230" t="s">
        <v>359</v>
      </c>
      <c r="E1230" s="55"/>
      <c r="Z1230" s="38">
        <f t="shared" ref="Z1230:AK1230" si="627">+$D1204*G$630*(1+INFLACION)^($C1204-$G$4)</f>
        <v>0</v>
      </c>
      <c r="AA1230" s="38">
        <f t="shared" si="627"/>
        <v>0</v>
      </c>
      <c r="AB1230" s="38">
        <f t="shared" si="627"/>
        <v>0</v>
      </c>
      <c r="AC1230" s="38">
        <f t="shared" si="627"/>
        <v>70499.38712710033</v>
      </c>
      <c r="AD1230" s="38">
        <f t="shared" si="627"/>
        <v>72687.771366204965</v>
      </c>
      <c r="AE1230" s="38">
        <f t="shared" si="627"/>
        <v>74810.421911018595</v>
      </c>
      <c r="AF1230" s="38">
        <f t="shared" si="627"/>
        <v>87132.750686652784</v>
      </c>
      <c r="AG1230" s="38">
        <f t="shared" si="627"/>
        <v>0</v>
      </c>
      <c r="AH1230" s="38">
        <f t="shared" si="627"/>
        <v>0</v>
      </c>
      <c r="AI1230" s="38">
        <f t="shared" si="627"/>
        <v>0</v>
      </c>
      <c r="AJ1230" s="38">
        <f t="shared" si="627"/>
        <v>0</v>
      </c>
      <c r="AK1230" s="38">
        <f t="shared" si="627"/>
        <v>0</v>
      </c>
    </row>
    <row r="1231" spans="2:37">
      <c r="E1231" s="55"/>
    </row>
    <row r="1232" spans="2:37">
      <c r="E1232" s="55"/>
    </row>
    <row r="1233" spans="2:38">
      <c r="C1233" t="s">
        <v>615</v>
      </c>
      <c r="D1233" t="s">
        <v>616</v>
      </c>
      <c r="E1233" s="55" t="s">
        <v>617</v>
      </c>
    </row>
    <row r="1234" spans="2:38">
      <c r="B1234" t="s">
        <v>618</v>
      </c>
      <c r="C1234">
        <f>+C1204+1</f>
        <v>2039</v>
      </c>
      <c r="D1234">
        <f>+VLOOKUP(C1234,$B$545:$C$567,2,FALSE)</f>
        <v>4</v>
      </c>
      <c r="E1234" s="55">
        <f>+HLOOKUP('Proyectos Inmob detall'!C1234,Proyecciones!$G$56:$AG$57,2,FALSE)</f>
        <v>1</v>
      </c>
    </row>
    <row r="1235" spans="2:38">
      <c r="B1235" t="str">
        <f>+B1205</f>
        <v>Arquitectura</v>
      </c>
    </row>
    <row r="1236" spans="2:38">
      <c r="B1236" t="str">
        <f t="shared" ref="B1236:B1258" si="628">+B1206</f>
        <v>Ventas</v>
      </c>
      <c r="AA1236" s="38">
        <f t="shared" ref="AA1236:AL1236" si="629">+$D1234*G$606*(1+INFLACION)^($C1234-$G$4)</f>
        <v>0</v>
      </c>
      <c r="AB1236" s="38">
        <f t="shared" si="629"/>
        <v>196.20261435020532</v>
      </c>
      <c r="AC1236" s="38">
        <f t="shared" si="629"/>
        <v>501.96252377442488</v>
      </c>
      <c r="AD1236" s="38">
        <f t="shared" si="629"/>
        <v>529.00700617456278</v>
      </c>
      <c r="AE1236" s="38">
        <f t="shared" si="629"/>
        <v>517.54728080198379</v>
      </c>
      <c r="AF1236" s="38">
        <f t="shared" si="629"/>
        <v>479.67880418614021</v>
      </c>
      <c r="AG1236" s="38">
        <f t="shared" si="629"/>
        <v>606.2348261774556</v>
      </c>
      <c r="AH1236" s="38">
        <f t="shared" si="629"/>
        <v>0</v>
      </c>
      <c r="AI1236" s="38">
        <f t="shared" si="629"/>
        <v>0</v>
      </c>
      <c r="AJ1236" s="38">
        <f t="shared" si="629"/>
        <v>0</v>
      </c>
      <c r="AK1236" s="38">
        <f t="shared" si="629"/>
        <v>0</v>
      </c>
      <c r="AL1236" s="38">
        <f t="shared" si="629"/>
        <v>0</v>
      </c>
    </row>
    <row r="1237" spans="2:38">
      <c r="B1237" t="str">
        <f t="shared" si="628"/>
        <v>Caja</v>
      </c>
      <c r="AA1237" s="38">
        <f t="shared" ref="AA1237:AL1237" si="630">+$D1234*G$607*(1+INFLACION)^($C1234-$G$4)</f>
        <v>0</v>
      </c>
      <c r="AB1237" s="38">
        <f t="shared" si="630"/>
        <v>0</v>
      </c>
      <c r="AC1237" s="38">
        <f t="shared" si="630"/>
        <v>654.00871450068439</v>
      </c>
      <c r="AD1237" s="38">
        <f t="shared" si="630"/>
        <v>0</v>
      </c>
      <c r="AE1237" s="38">
        <f t="shared" si="630"/>
        <v>674.30991741001014</v>
      </c>
      <c r="AF1237" s="38">
        <f t="shared" si="630"/>
        <v>694.00132198413735</v>
      </c>
      <c r="AG1237" s="38">
        <f t="shared" si="630"/>
        <v>808.31310156994061</v>
      </c>
      <c r="AH1237" s="38">
        <f t="shared" si="630"/>
        <v>0</v>
      </c>
      <c r="AI1237" s="38">
        <f t="shared" si="630"/>
        <v>0</v>
      </c>
      <c r="AJ1237" s="38">
        <f t="shared" si="630"/>
        <v>0</v>
      </c>
      <c r="AK1237" s="38">
        <f t="shared" si="630"/>
        <v>0</v>
      </c>
      <c r="AL1237" s="38">
        <f t="shared" si="630"/>
        <v>0</v>
      </c>
    </row>
    <row r="1239" spans="2:38">
      <c r="B1239" t="str">
        <f t="shared" si="628"/>
        <v>Preconstrucción</v>
      </c>
    </row>
    <row r="1240" spans="2:38">
      <c r="B1240" t="str">
        <f t="shared" si="628"/>
        <v>Ventas</v>
      </c>
      <c r="AA1240" s="38">
        <f t="shared" ref="AA1240:AL1240" si="631">$D1234*G$610*(1+INFLACION)^($C1234-$G$4)</f>
        <v>0</v>
      </c>
      <c r="AB1240" s="38">
        <f t="shared" si="631"/>
        <v>78.481045740082124</v>
      </c>
      <c r="AC1240" s="38">
        <f t="shared" si="631"/>
        <v>200.78500950976991</v>
      </c>
      <c r="AD1240" s="38">
        <f t="shared" si="631"/>
        <v>211.60280246982506</v>
      </c>
      <c r="AE1240" s="38">
        <f t="shared" si="631"/>
        <v>207.01891232079345</v>
      </c>
      <c r="AF1240" s="38">
        <f t="shared" si="631"/>
        <v>191.87152167445609</v>
      </c>
      <c r="AG1240" s="38">
        <f t="shared" si="631"/>
        <v>242.49393047098212</v>
      </c>
      <c r="AH1240" s="38">
        <f t="shared" si="631"/>
        <v>0</v>
      </c>
      <c r="AI1240" s="38">
        <f t="shared" si="631"/>
        <v>0</v>
      </c>
      <c r="AJ1240" s="38">
        <f t="shared" si="631"/>
        <v>0</v>
      </c>
      <c r="AK1240" s="38">
        <f t="shared" si="631"/>
        <v>0</v>
      </c>
      <c r="AL1240" s="38">
        <f t="shared" si="631"/>
        <v>0</v>
      </c>
    </row>
    <row r="1241" spans="2:38">
      <c r="B1241" t="str">
        <f t="shared" si="628"/>
        <v>Caja</v>
      </c>
      <c r="AA1241" s="38">
        <f t="shared" ref="AA1241:AL1241" si="632">+$D1234*G$611*(1+INFLACION)^($C1234-$G$4)</f>
        <v>0</v>
      </c>
      <c r="AB1241" s="38">
        <f t="shared" si="632"/>
        <v>0</v>
      </c>
      <c r="AC1241" s="38">
        <f t="shared" si="632"/>
        <v>261.60348580027375</v>
      </c>
      <c r="AD1241" s="38">
        <f t="shared" si="632"/>
        <v>0</v>
      </c>
      <c r="AE1241" s="38">
        <f t="shared" si="632"/>
        <v>269.72396696400409</v>
      </c>
      <c r="AF1241" s="38">
        <f t="shared" si="632"/>
        <v>277.60052879365486</v>
      </c>
      <c r="AG1241" s="38">
        <f t="shared" si="632"/>
        <v>323.3252406279762</v>
      </c>
      <c r="AH1241" s="38">
        <f t="shared" si="632"/>
        <v>0</v>
      </c>
      <c r="AI1241" s="38">
        <f t="shared" si="632"/>
        <v>0</v>
      </c>
      <c r="AJ1241" s="38">
        <f t="shared" si="632"/>
        <v>0</v>
      </c>
      <c r="AK1241" s="38">
        <f t="shared" si="632"/>
        <v>0</v>
      </c>
      <c r="AL1241" s="38">
        <f t="shared" si="632"/>
        <v>0</v>
      </c>
    </row>
    <row r="1243" spans="2:38">
      <c r="B1243" t="str">
        <f t="shared" si="628"/>
        <v>Construccion</v>
      </c>
    </row>
    <row r="1244" spans="2:38">
      <c r="B1244" t="str">
        <f t="shared" si="628"/>
        <v>Ventas</v>
      </c>
      <c r="AA1244" s="38">
        <f t="shared" ref="AA1244:AL1244" si="633">+$D1234*G$614*(1+INFLACION)^($C1234-$G$4)</f>
        <v>0</v>
      </c>
      <c r="AB1244" s="38">
        <f t="shared" si="633"/>
        <v>20993.679735471964</v>
      </c>
      <c r="AC1244" s="38">
        <f t="shared" si="633"/>
        <v>53709.990043863458</v>
      </c>
      <c r="AD1244" s="38">
        <f t="shared" si="633"/>
        <v>56603.749660678215</v>
      </c>
      <c r="AE1244" s="38">
        <f t="shared" si="633"/>
        <v>55377.559045812282</v>
      </c>
      <c r="AF1244" s="38">
        <f t="shared" si="633"/>
        <v>51325.632047916988</v>
      </c>
      <c r="AG1244" s="38">
        <f t="shared" si="633"/>
        <v>64867.126400987683</v>
      </c>
      <c r="AH1244" s="38">
        <f t="shared" si="633"/>
        <v>0</v>
      </c>
      <c r="AI1244" s="38">
        <f t="shared" si="633"/>
        <v>0</v>
      </c>
      <c r="AJ1244" s="38">
        <f t="shared" si="633"/>
        <v>0</v>
      </c>
      <c r="AK1244" s="38">
        <f t="shared" si="633"/>
        <v>0</v>
      </c>
      <c r="AL1244" s="38">
        <f t="shared" si="633"/>
        <v>0</v>
      </c>
    </row>
    <row r="1245" spans="2:38">
      <c r="B1245" t="str">
        <f t="shared" si="628"/>
        <v>Utilidad</v>
      </c>
      <c r="AA1245" s="38">
        <f t="shared" ref="AA1245:AL1245" si="634">+$D1234*G$615*(1+INFLACION)^($C1234-$G$4)</f>
        <v>0</v>
      </c>
      <c r="AB1245" s="38">
        <f t="shared" si="634"/>
        <v>1373.4183004514371</v>
      </c>
      <c r="AC1245" s="38">
        <f t="shared" si="634"/>
        <v>3513.737666420971</v>
      </c>
      <c r="AD1245" s="38">
        <f t="shared" si="634"/>
        <v>3703.0490432219381</v>
      </c>
      <c r="AE1245" s="38">
        <f t="shared" si="634"/>
        <v>3622.8309656138863</v>
      </c>
      <c r="AF1245" s="38">
        <f t="shared" si="634"/>
        <v>3357.7516293029712</v>
      </c>
      <c r="AG1245" s="38">
        <f t="shared" si="634"/>
        <v>4243.6437832421952</v>
      </c>
      <c r="AH1245" s="38">
        <f t="shared" si="634"/>
        <v>0</v>
      </c>
      <c r="AI1245" s="38">
        <f t="shared" si="634"/>
        <v>0</v>
      </c>
      <c r="AJ1245" s="38">
        <f t="shared" si="634"/>
        <v>0</v>
      </c>
      <c r="AK1245" s="38">
        <f t="shared" si="634"/>
        <v>0</v>
      </c>
      <c r="AL1245" s="38">
        <f t="shared" si="634"/>
        <v>0</v>
      </c>
    </row>
    <row r="1246" spans="2:38">
      <c r="B1246" t="str">
        <f t="shared" si="628"/>
        <v>Caja</v>
      </c>
      <c r="AA1246" s="38">
        <f t="shared" ref="AA1246:AL1246" si="635">+$D1234*G$616*(1+INFLACION)^($C1234-$G$4)</f>
        <v>0</v>
      </c>
      <c r="AB1246" s="38">
        <f t="shared" si="635"/>
        <v>0</v>
      </c>
      <c r="AC1246" s="38">
        <f t="shared" si="635"/>
        <v>0</v>
      </c>
      <c r="AD1246" s="38">
        <f t="shared" si="635"/>
        <v>4578.0610015047869</v>
      </c>
      <c r="AE1246" s="38">
        <f t="shared" si="635"/>
        <v>4720.1694218700659</v>
      </c>
      <c r="AF1246" s="38">
        <f t="shared" si="635"/>
        <v>2914.8055523333787</v>
      </c>
      <c r="AG1246" s="38">
        <f t="shared" si="635"/>
        <v>7601.3954125451583</v>
      </c>
      <c r="AH1246" s="38">
        <f t="shared" si="635"/>
        <v>0</v>
      </c>
      <c r="AI1246" s="38">
        <f t="shared" si="635"/>
        <v>0</v>
      </c>
      <c r="AJ1246" s="38">
        <f t="shared" si="635"/>
        <v>0</v>
      </c>
      <c r="AK1246" s="38">
        <f t="shared" si="635"/>
        <v>0</v>
      </c>
      <c r="AL1246" s="38">
        <f t="shared" si="635"/>
        <v>0</v>
      </c>
    </row>
    <row r="1248" spans="2:38">
      <c r="B1248" t="str">
        <f t="shared" si="628"/>
        <v>Inmobiliario</v>
      </c>
    </row>
    <row r="1249" spans="2:38">
      <c r="B1249" t="str">
        <f t="shared" si="628"/>
        <v>Ventas</v>
      </c>
      <c r="AA1249" s="38">
        <f t="shared" ref="AA1249:AL1249" si="636">+$D1234*G$619*(1+INFLACION)^($C1234-$G$4)</f>
        <v>0</v>
      </c>
      <c r="AB1249" s="38">
        <f t="shared" si="636"/>
        <v>11524.29455175576</v>
      </c>
      <c r="AC1249" s="38">
        <f t="shared" si="636"/>
        <v>29445.544317159198</v>
      </c>
      <c r="AD1249" s="38">
        <f t="shared" si="636"/>
        <v>30615.929210022055</v>
      </c>
      <c r="AE1249" s="38">
        <f t="shared" si="636"/>
        <v>29593.61518842182</v>
      </c>
      <c r="AF1249" s="38">
        <f t="shared" si="636"/>
        <v>27173.167922095352</v>
      </c>
      <c r="AG1249" s="38">
        <f t="shared" si="636"/>
        <v>34039.845003472219</v>
      </c>
      <c r="AH1249" s="38">
        <f t="shared" si="636"/>
        <v>0</v>
      </c>
      <c r="AI1249" s="38">
        <f t="shared" si="636"/>
        <v>0</v>
      </c>
      <c r="AJ1249" s="38">
        <f t="shared" si="636"/>
        <v>0</v>
      </c>
      <c r="AK1249" s="38">
        <f t="shared" si="636"/>
        <v>0</v>
      </c>
      <c r="AL1249" s="38">
        <f t="shared" si="636"/>
        <v>0</v>
      </c>
    </row>
    <row r="1250" spans="2:38">
      <c r="B1250" t="str">
        <f t="shared" si="628"/>
        <v>Utilidad</v>
      </c>
      <c r="AA1250" s="38">
        <f t="shared" ref="AA1250:AL1250" si="637">$D1234*G$620*(1+INFLACION)^($C1234-$G$4)</f>
        <v>0</v>
      </c>
      <c r="AB1250" s="38">
        <f t="shared" si="637"/>
        <v>2368.779407470573</v>
      </c>
      <c r="AC1250" s="38">
        <f t="shared" si="637"/>
        <v>6060.2581345653261</v>
      </c>
      <c r="AD1250" s="38">
        <f t="shared" si="637"/>
        <v>6386.7696502620538</v>
      </c>
      <c r="AE1250" s="38">
        <f t="shared" si="637"/>
        <v>6248.4149113726917</v>
      </c>
      <c r="AF1250" s="38">
        <f t="shared" si="637"/>
        <v>5791.2239208399278</v>
      </c>
      <c r="AG1250" s="38">
        <f t="shared" si="637"/>
        <v>7319.1510576788296</v>
      </c>
      <c r="AH1250" s="38">
        <f t="shared" si="637"/>
        <v>0</v>
      </c>
      <c r="AI1250" s="38">
        <f t="shared" si="637"/>
        <v>0</v>
      </c>
      <c r="AJ1250" s="38">
        <f t="shared" si="637"/>
        <v>0</v>
      </c>
      <c r="AK1250" s="38">
        <f t="shared" si="637"/>
        <v>0</v>
      </c>
      <c r="AL1250" s="38">
        <f t="shared" si="637"/>
        <v>0</v>
      </c>
    </row>
    <row r="1251" spans="2:38">
      <c r="B1251" t="str">
        <f t="shared" si="628"/>
        <v>Caja</v>
      </c>
      <c r="AA1251" s="38">
        <f t="shared" ref="AA1251:AL1251" si="638">+$D1234*G$621*(1+INFLACION)^($C1234-$G$4)</f>
        <v>0</v>
      </c>
      <c r="AB1251" s="38">
        <f t="shared" si="638"/>
        <v>0</v>
      </c>
      <c r="AC1251" s="38">
        <f t="shared" si="638"/>
        <v>0</v>
      </c>
      <c r="AD1251" s="38">
        <f t="shared" si="638"/>
        <v>7895.9313582352415</v>
      </c>
      <c r="AE1251" s="38">
        <f t="shared" si="638"/>
        <v>8141.0303930149576</v>
      </c>
      <c r="AF1251" s="38">
        <f t="shared" si="638"/>
        <v>5027.2603524204451</v>
      </c>
      <c r="AG1251" s="38">
        <f t="shared" si="638"/>
        <v>13110.374978518754</v>
      </c>
      <c r="AH1251" s="38">
        <f t="shared" si="638"/>
        <v>0</v>
      </c>
      <c r="AI1251" s="38">
        <f t="shared" si="638"/>
        <v>0</v>
      </c>
      <c r="AJ1251" s="38">
        <f t="shared" si="638"/>
        <v>0</v>
      </c>
      <c r="AK1251" s="38">
        <f t="shared" si="638"/>
        <v>0</v>
      </c>
      <c r="AL1251" s="38">
        <f t="shared" si="638"/>
        <v>0</v>
      </c>
    </row>
    <row r="1253" spans="2:38">
      <c r="B1253" t="str">
        <f t="shared" si="628"/>
        <v>utilidad como inversionista</v>
      </c>
    </row>
    <row r="1254" spans="2:38">
      <c r="B1254" t="str">
        <f t="shared" si="628"/>
        <v>Ventas</v>
      </c>
      <c r="AA1254" s="38">
        <f t="shared" ref="AA1254:AL1254" si="639">+$D1234*G$624*(1+INFLACION)^($C1234-$G$4)*$E1234</f>
        <v>0</v>
      </c>
      <c r="AB1254" s="38">
        <f t="shared" si="639"/>
        <v>1184.3897037352856</v>
      </c>
      <c r="AC1254" s="38">
        <f t="shared" si="639"/>
        <v>3068.2080804112798</v>
      </c>
      <c r="AD1254" s="38">
        <f t="shared" si="639"/>
        <v>3649.5826572926035</v>
      </c>
      <c r="AE1254" s="38">
        <f t="shared" si="639"/>
        <v>3929.6128316715703</v>
      </c>
      <c r="AF1254" s="38">
        <f t="shared" si="639"/>
        <v>3897.1951647703909</v>
      </c>
      <c r="AG1254" s="38">
        <f t="shared" si="639"/>
        <v>5227.9650411991661</v>
      </c>
      <c r="AH1254" s="38">
        <f t="shared" si="639"/>
        <v>0</v>
      </c>
      <c r="AI1254" s="38">
        <f t="shared" si="639"/>
        <v>0</v>
      </c>
      <c r="AJ1254" s="38">
        <f t="shared" si="639"/>
        <v>0</v>
      </c>
      <c r="AK1254" s="38">
        <f t="shared" si="639"/>
        <v>0</v>
      </c>
      <c r="AL1254" s="38">
        <f t="shared" si="639"/>
        <v>0</v>
      </c>
    </row>
    <row r="1255" spans="2:38">
      <c r="B1255" t="str">
        <f t="shared" si="628"/>
        <v>Caja</v>
      </c>
      <c r="AA1255" s="38">
        <f t="shared" ref="AA1255:AL1255" si="640">+$D1234*G$625*(1+INFLACION)^($C1234-$G$4)*$E1234</f>
        <v>0</v>
      </c>
      <c r="AB1255" s="38">
        <f t="shared" si="640"/>
        <v>0</v>
      </c>
      <c r="AC1255" s="38">
        <f t="shared" si="640"/>
        <v>0</v>
      </c>
      <c r="AD1255" s="38">
        <f t="shared" si="640"/>
        <v>0</v>
      </c>
      <c r="AE1255" s="38">
        <f t="shared" si="640"/>
        <v>0</v>
      </c>
      <c r="AF1255" s="38">
        <f t="shared" si="640"/>
        <v>4652.0173674371172</v>
      </c>
      <c r="AG1255" s="38">
        <f t="shared" si="640"/>
        <v>9334.3160567109553</v>
      </c>
      <c r="AH1255" s="38">
        <f t="shared" si="640"/>
        <v>6970.620054932222</v>
      </c>
      <c r="AI1255" s="38">
        <f t="shared" si="640"/>
        <v>0</v>
      </c>
      <c r="AJ1255" s="38">
        <f t="shared" si="640"/>
        <v>0</v>
      </c>
      <c r="AK1255" s="38">
        <f t="shared" si="640"/>
        <v>0</v>
      </c>
      <c r="AL1255" s="38">
        <f t="shared" si="640"/>
        <v>0</v>
      </c>
    </row>
    <row r="1257" spans="2:38">
      <c r="B1257" t="str">
        <f t="shared" si="628"/>
        <v>Inversiones en proyectos caja</v>
      </c>
      <c r="AA1257" s="38">
        <f t="shared" ref="AA1257:AL1257" si="641">$D1234*G$627*(1+INFLACION)^($C1234-$G$4)*$E1234</f>
        <v>12270.289600987158</v>
      </c>
      <c r="AB1257" s="38">
        <f t="shared" si="641"/>
        <v>3505.7970288534739</v>
      </c>
      <c r="AC1257" s="38">
        <f t="shared" si="641"/>
        <v>0</v>
      </c>
      <c r="AD1257" s="38">
        <f t="shared" si="641"/>
        <v>0</v>
      </c>
      <c r="AE1257" s="38">
        <f t="shared" si="641"/>
        <v>0</v>
      </c>
      <c r="AF1257" s="38">
        <f t="shared" si="641"/>
        <v>0</v>
      </c>
      <c r="AG1257" s="38">
        <f t="shared" si="641"/>
        <v>0</v>
      </c>
      <c r="AH1257" s="38">
        <f t="shared" si="641"/>
        <v>0</v>
      </c>
      <c r="AI1257" s="38">
        <f t="shared" si="641"/>
        <v>0</v>
      </c>
      <c r="AJ1257" s="38">
        <f t="shared" si="641"/>
        <v>0</v>
      </c>
      <c r="AK1257" s="38">
        <f t="shared" si="641"/>
        <v>0</v>
      </c>
      <c r="AL1257" s="38">
        <f t="shared" si="641"/>
        <v>0</v>
      </c>
    </row>
    <row r="1258" spans="2:38">
      <c r="B1258" t="str">
        <f t="shared" si="628"/>
        <v>DesInversiones en proyectos caja</v>
      </c>
      <c r="AA1258" s="38">
        <f t="shared" ref="AA1258:AL1258" si="642">+$D1234*G$628*(1+INFLACION)^($C1234-$G$4)*$E1234</f>
        <v>0</v>
      </c>
      <c r="AB1258" s="38">
        <f t="shared" si="642"/>
        <v>0</v>
      </c>
      <c r="AC1258" s="38">
        <f t="shared" si="642"/>
        <v>0</v>
      </c>
      <c r="AD1258" s="38">
        <f t="shared" si="642"/>
        <v>0</v>
      </c>
      <c r="AE1258" s="38">
        <f t="shared" si="642"/>
        <v>12270.289600987158</v>
      </c>
      <c r="AF1258" s="38">
        <f t="shared" si="642"/>
        <v>3505.7970288534739</v>
      </c>
      <c r="AG1258" s="38">
        <f t="shared" si="642"/>
        <v>0</v>
      </c>
      <c r="AH1258" s="38">
        <f t="shared" si="642"/>
        <v>0</v>
      </c>
      <c r="AI1258" s="38">
        <f t="shared" si="642"/>
        <v>0</v>
      </c>
      <c r="AJ1258" s="38">
        <f t="shared" si="642"/>
        <v>0</v>
      </c>
      <c r="AK1258" s="38">
        <f t="shared" si="642"/>
        <v>0</v>
      </c>
      <c r="AL1258" s="38">
        <f t="shared" si="642"/>
        <v>0</v>
      </c>
    </row>
    <row r="1259" spans="2:38">
      <c r="B1259" t="str">
        <f>+B1229</f>
        <v>Escrituración</v>
      </c>
      <c r="AA1259" s="38">
        <f t="shared" ref="AA1259:AL1259" si="643">+$D1234*G$629*(1+INFLACION)^($C1234-$G$4)</f>
        <v>0</v>
      </c>
      <c r="AB1259" s="38">
        <f t="shared" si="643"/>
        <v>0</v>
      </c>
      <c r="AC1259" s="38">
        <f t="shared" si="643"/>
        <v>0</v>
      </c>
      <c r="AD1259" s="38">
        <f t="shared" si="643"/>
        <v>113256.82550351101</v>
      </c>
      <c r="AE1259" s="38">
        <f t="shared" si="643"/>
        <v>116772.45112811496</v>
      </c>
      <c r="AF1259" s="38">
        <f t="shared" si="643"/>
        <v>120182.47598301861</v>
      </c>
      <c r="AG1259" s="38">
        <f t="shared" si="643"/>
        <v>139978.22026974344</v>
      </c>
      <c r="AH1259" s="38">
        <f t="shared" si="643"/>
        <v>0</v>
      </c>
      <c r="AI1259" s="38">
        <f t="shared" si="643"/>
        <v>0</v>
      </c>
      <c r="AJ1259" s="38">
        <f t="shared" si="643"/>
        <v>0</v>
      </c>
      <c r="AK1259" s="38">
        <f t="shared" si="643"/>
        <v>0</v>
      </c>
      <c r="AL1259" s="38">
        <f t="shared" si="643"/>
        <v>0</v>
      </c>
    </row>
    <row r="1260" spans="2:38">
      <c r="B1260" t="s">
        <v>359</v>
      </c>
      <c r="AA1260" s="38">
        <f t="shared" ref="AA1260:AL1260" si="644">+$D1234*G$630*(1+INFLACION)^($C1234-$G$4)</f>
        <v>0</v>
      </c>
      <c r="AB1260" s="38">
        <f t="shared" si="644"/>
        <v>0</v>
      </c>
      <c r="AC1260" s="38">
        <f t="shared" si="644"/>
        <v>0</v>
      </c>
      <c r="AD1260" s="38">
        <f t="shared" si="644"/>
        <v>73319.362612184341</v>
      </c>
      <c r="AE1260" s="38">
        <f t="shared" si="644"/>
        <v>75595.282220853172</v>
      </c>
      <c r="AF1260" s="38">
        <f t="shared" si="644"/>
        <v>77802.838787459332</v>
      </c>
      <c r="AG1260" s="38">
        <f t="shared" si="644"/>
        <v>90618.060714118896</v>
      </c>
      <c r="AH1260" s="38">
        <f t="shared" si="644"/>
        <v>0</v>
      </c>
      <c r="AI1260" s="38">
        <f t="shared" si="644"/>
        <v>0</v>
      </c>
      <c r="AJ1260" s="38">
        <f t="shared" si="644"/>
        <v>0</v>
      </c>
      <c r="AK1260" s="38">
        <f t="shared" si="644"/>
        <v>0</v>
      </c>
      <c r="AL1260" s="38">
        <f t="shared" si="644"/>
        <v>0</v>
      </c>
    </row>
  </sheetData>
  <dataConsolidate/>
  <mergeCells count="1">
    <mergeCell ref="B570:E570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K44"/>
  <sheetViews>
    <sheetView workbookViewId="0">
      <pane xSplit="1" ySplit="5" topLeftCell="B6" activePane="bottomRight" state="frozen"/>
      <selection activeCell="C38" sqref="C38:C40"/>
      <selection pane="topRight" activeCell="C38" sqref="C38:C40"/>
      <selection pane="bottomLeft" activeCell="C38" sqref="C38:C40"/>
      <selection pane="bottomRight" activeCell="F2" sqref="F2"/>
    </sheetView>
  </sheetViews>
  <sheetFormatPr baseColWidth="10" defaultRowHeight="16"/>
  <cols>
    <col min="1" max="1" width="35.5" bestFit="1" customWidth="1"/>
    <col min="2" max="2" width="14.83203125" bestFit="1" customWidth="1"/>
    <col min="3" max="3" width="13.83203125" bestFit="1" customWidth="1"/>
    <col min="4" max="5" width="11.33203125" bestFit="1" customWidth="1"/>
    <col min="6" max="6" width="12.83203125" customWidth="1"/>
    <col min="7" max="7" width="12.83203125" bestFit="1" customWidth="1"/>
    <col min="8" max="8" width="18.5" bestFit="1" customWidth="1"/>
    <col min="9" max="9" width="17.1640625" bestFit="1" customWidth="1"/>
    <col min="10" max="10" width="34.83203125" bestFit="1" customWidth="1"/>
    <col min="11" max="11" width="9.83203125" bestFit="1" customWidth="1"/>
    <col min="12" max="12" width="17.5" bestFit="1" customWidth="1"/>
    <col min="13" max="13" width="17.1640625" bestFit="1" customWidth="1"/>
    <col min="14" max="14" width="10.83203125" style="2"/>
    <col min="15" max="16" width="5.1640625" bestFit="1" customWidth="1"/>
    <col min="17" max="17" width="7" bestFit="1" customWidth="1"/>
    <col min="18" max="18" width="8" bestFit="1" customWidth="1"/>
    <col min="19" max="19" width="6.83203125" bestFit="1" customWidth="1"/>
    <col min="20" max="20" width="7" bestFit="1" customWidth="1"/>
    <col min="21" max="37" width="5.33203125" bestFit="1" customWidth="1"/>
  </cols>
  <sheetData>
    <row r="3" spans="1:37">
      <c r="B3" s="50">
        <v>1000000</v>
      </c>
    </row>
    <row r="4" spans="1:37" ht="21">
      <c r="A4" s="390" t="s">
        <v>69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37" ht="48">
      <c r="A5" s="27" t="s">
        <v>70</v>
      </c>
      <c r="B5" s="28" t="s">
        <v>71</v>
      </c>
      <c r="C5" s="28" t="s">
        <v>72</v>
      </c>
      <c r="D5" s="28" t="s">
        <v>73</v>
      </c>
      <c r="E5" s="28" t="s">
        <v>74</v>
      </c>
      <c r="F5" s="29" t="s">
        <v>75</v>
      </c>
      <c r="G5" s="29" t="s">
        <v>76</v>
      </c>
      <c r="H5" s="28" t="s">
        <v>77</v>
      </c>
      <c r="I5" s="30" t="s">
        <v>78</v>
      </c>
      <c r="J5" s="31" t="s">
        <v>79</v>
      </c>
      <c r="K5" s="30" t="s">
        <v>127</v>
      </c>
      <c r="L5" s="30" t="s">
        <v>81</v>
      </c>
      <c r="M5" s="30" t="s">
        <v>82</v>
      </c>
      <c r="O5">
        <f>+'Proyectos Inmob detall'!E4</f>
        <v>0</v>
      </c>
      <c r="P5">
        <f>+'Proyectos Inmob detall'!F4</f>
        <v>0</v>
      </c>
      <c r="Q5">
        <f>+'Proyectos Inmob detall'!G4</f>
        <v>2019</v>
      </c>
      <c r="R5">
        <f>+'Proyectos Inmob detall'!H4</f>
        <v>2020</v>
      </c>
      <c r="S5">
        <f>+'Proyectos Inmob detall'!I4</f>
        <v>2021</v>
      </c>
      <c r="T5">
        <f>+'Proyectos Inmob detall'!J4</f>
        <v>2022</v>
      </c>
      <c r="U5">
        <f>+'Proyectos Inmob detall'!K4</f>
        <v>2023</v>
      </c>
      <c r="V5">
        <f>+'Proyectos Inmob detall'!L4</f>
        <v>2024</v>
      </c>
      <c r="W5">
        <f>+'Proyectos Inmob detall'!M4</f>
        <v>2025</v>
      </c>
      <c r="X5">
        <f>+'Proyectos Inmob detall'!N4</f>
        <v>2026</v>
      </c>
      <c r="Y5">
        <f>+'Proyectos Inmob detall'!O4</f>
        <v>2027</v>
      </c>
      <c r="Z5">
        <f>+'Proyectos Inmob detall'!P4</f>
        <v>2028</v>
      </c>
      <c r="AA5">
        <f>+'Proyectos Inmob detall'!Q4</f>
        <v>2029</v>
      </c>
      <c r="AB5">
        <f>+'Proyectos Inmob detall'!R4</f>
        <v>2030</v>
      </c>
      <c r="AC5">
        <f>+'Proyectos Inmob detall'!S4</f>
        <v>2031</v>
      </c>
      <c r="AD5">
        <f>+'Proyectos Inmob detall'!T4</f>
        <v>2032</v>
      </c>
      <c r="AE5">
        <f>+'Proyectos Inmob detall'!U4</f>
        <v>2033</v>
      </c>
      <c r="AF5">
        <f>+'Proyectos Inmob detall'!V4</f>
        <v>2034</v>
      </c>
      <c r="AG5">
        <f>+'Proyectos Inmob detall'!W4</f>
        <v>2035</v>
      </c>
      <c r="AH5">
        <f>+'Proyectos Inmob detall'!X4</f>
        <v>2036</v>
      </c>
      <c r="AI5">
        <f>+'Proyectos Inmob detall'!Y4</f>
        <v>2037</v>
      </c>
      <c r="AJ5">
        <f>+'Proyectos Inmob detall'!Z4</f>
        <v>2038</v>
      </c>
      <c r="AK5">
        <f>+'Proyectos Inmob detall'!AA4</f>
        <v>2039</v>
      </c>
    </row>
    <row r="6" spans="1:37" ht="34">
      <c r="A6" s="33" t="s">
        <v>83</v>
      </c>
      <c r="B6" s="319">
        <v>825.06954499999995</v>
      </c>
      <c r="C6" s="319">
        <v>0</v>
      </c>
      <c r="D6" s="319">
        <v>0</v>
      </c>
      <c r="E6" s="319">
        <v>0</v>
      </c>
      <c r="F6" s="319">
        <v>0</v>
      </c>
      <c r="G6" s="319">
        <v>0</v>
      </c>
      <c r="H6" s="34">
        <f t="shared" ref="H6:H15" si="0">+SUM(B6:G6)</f>
        <v>825.06954499999995</v>
      </c>
      <c r="I6" s="35">
        <f>+H6</f>
        <v>825.06954499999995</v>
      </c>
      <c r="J6" s="33" t="s">
        <v>84</v>
      </c>
      <c r="K6" s="320">
        <v>2020</v>
      </c>
      <c r="L6" s="33">
        <f>+I6</f>
        <v>825.06954499999995</v>
      </c>
      <c r="M6" s="51">
        <f>+L6</f>
        <v>825.06954499999995</v>
      </c>
      <c r="Q6" s="53">
        <f>+IF(Q$5=$K6,$M6,0)</f>
        <v>0</v>
      </c>
      <c r="R6" s="53">
        <f t="shared" ref="R6:AG15" si="1">+IF(R$5=$K6,$M6,0)</f>
        <v>825.06954499999995</v>
      </c>
      <c r="S6" s="53">
        <f t="shared" si="1"/>
        <v>0</v>
      </c>
      <c r="T6" s="53">
        <f t="shared" si="1"/>
        <v>0</v>
      </c>
      <c r="U6" s="53">
        <f t="shared" si="1"/>
        <v>0</v>
      </c>
      <c r="V6" s="53">
        <f t="shared" si="1"/>
        <v>0</v>
      </c>
      <c r="W6" s="53">
        <f t="shared" si="1"/>
        <v>0</v>
      </c>
      <c r="X6" s="53">
        <f t="shared" si="1"/>
        <v>0</v>
      </c>
      <c r="Y6" s="53">
        <f t="shared" si="1"/>
        <v>0</v>
      </c>
      <c r="Z6" s="53">
        <f t="shared" si="1"/>
        <v>0</v>
      </c>
      <c r="AA6" s="53">
        <f t="shared" si="1"/>
        <v>0</v>
      </c>
      <c r="AB6" s="53">
        <f t="shared" si="1"/>
        <v>0</v>
      </c>
      <c r="AC6" s="53">
        <f t="shared" si="1"/>
        <v>0</v>
      </c>
      <c r="AD6" s="53">
        <f t="shared" si="1"/>
        <v>0</v>
      </c>
      <c r="AE6" s="53">
        <f t="shared" si="1"/>
        <v>0</v>
      </c>
      <c r="AF6" s="53">
        <f t="shared" si="1"/>
        <v>0</v>
      </c>
      <c r="AG6" s="53">
        <f t="shared" si="1"/>
        <v>0</v>
      </c>
      <c r="AH6" s="53">
        <f t="shared" ref="AH6:AK15" si="2">+IF(AH$5=$K6,$M6,0)</f>
        <v>0</v>
      </c>
      <c r="AI6" s="53">
        <f t="shared" si="2"/>
        <v>0</v>
      </c>
      <c r="AJ6" s="53">
        <f t="shared" si="2"/>
        <v>0</v>
      </c>
      <c r="AK6" s="53">
        <f t="shared" si="2"/>
        <v>0</v>
      </c>
    </row>
    <row r="7" spans="1:37" ht="17">
      <c r="A7" s="33" t="s">
        <v>85</v>
      </c>
      <c r="B7" s="319">
        <v>783.6925</v>
      </c>
      <c r="C7" s="319">
        <v>0</v>
      </c>
      <c r="D7" s="319">
        <v>0</v>
      </c>
      <c r="E7" s="319">
        <v>0</v>
      </c>
      <c r="F7" s="319">
        <v>0</v>
      </c>
      <c r="G7" s="319">
        <v>0</v>
      </c>
      <c r="H7" s="34">
        <f t="shared" si="0"/>
        <v>783.6925</v>
      </c>
      <c r="I7" s="35">
        <f>+B7</f>
        <v>783.6925</v>
      </c>
      <c r="J7" s="33" t="s">
        <v>86</v>
      </c>
      <c r="K7" s="320">
        <v>2019</v>
      </c>
      <c r="L7" s="33">
        <f>+I7/2</f>
        <v>391.84625</v>
      </c>
      <c r="M7" s="51">
        <f t="shared" ref="M7:M15" si="3">+L7</f>
        <v>391.84625</v>
      </c>
      <c r="Q7" s="53">
        <f t="shared" ref="Q7:Q15" si="4">+IF(Q$5=$K7,$M7,0)</f>
        <v>391.84625</v>
      </c>
      <c r="R7" s="53">
        <f t="shared" si="1"/>
        <v>0</v>
      </c>
      <c r="S7" s="53">
        <f t="shared" si="1"/>
        <v>0</v>
      </c>
      <c r="T7" s="53">
        <f t="shared" si="1"/>
        <v>0</v>
      </c>
      <c r="U7" s="53">
        <f t="shared" si="1"/>
        <v>0</v>
      </c>
      <c r="V7" s="53">
        <f t="shared" si="1"/>
        <v>0</v>
      </c>
      <c r="W7" s="53">
        <f t="shared" si="1"/>
        <v>0</v>
      </c>
      <c r="X7" s="53">
        <f t="shared" si="1"/>
        <v>0</v>
      </c>
      <c r="Y7" s="53">
        <f t="shared" si="1"/>
        <v>0</v>
      </c>
      <c r="Z7" s="53">
        <f t="shared" si="1"/>
        <v>0</v>
      </c>
      <c r="AA7" s="53">
        <f t="shared" si="1"/>
        <v>0</v>
      </c>
      <c r="AB7" s="53">
        <f t="shared" si="1"/>
        <v>0</v>
      </c>
      <c r="AC7" s="53">
        <f t="shared" si="1"/>
        <v>0</v>
      </c>
      <c r="AD7" s="53">
        <f t="shared" si="1"/>
        <v>0</v>
      </c>
      <c r="AE7" s="53">
        <f t="shared" si="1"/>
        <v>0</v>
      </c>
      <c r="AF7" s="53">
        <f t="shared" si="1"/>
        <v>0</v>
      </c>
      <c r="AG7" s="53">
        <f t="shared" si="1"/>
        <v>0</v>
      </c>
      <c r="AH7" s="53">
        <f t="shared" si="2"/>
        <v>0</v>
      </c>
      <c r="AI7" s="53">
        <f t="shared" si="2"/>
        <v>0</v>
      </c>
      <c r="AJ7" s="53">
        <f t="shared" si="2"/>
        <v>0</v>
      </c>
      <c r="AK7" s="53">
        <f t="shared" si="2"/>
        <v>0</v>
      </c>
    </row>
    <row r="8" spans="1:37" ht="17">
      <c r="A8" s="33" t="s">
        <v>87</v>
      </c>
      <c r="B8" s="319">
        <v>0</v>
      </c>
      <c r="C8" s="319">
        <v>0</v>
      </c>
      <c r="D8" s="319">
        <v>0</v>
      </c>
      <c r="E8" s="319">
        <v>0</v>
      </c>
      <c r="F8" s="319">
        <v>0</v>
      </c>
      <c r="G8" s="319">
        <v>1649.19696</v>
      </c>
      <c r="H8" s="34">
        <f t="shared" si="0"/>
        <v>1649.19696</v>
      </c>
      <c r="I8" s="35">
        <f t="shared" ref="I8:I15" si="5">+H8</f>
        <v>1649.19696</v>
      </c>
      <c r="J8" s="33" t="s">
        <v>88</v>
      </c>
      <c r="K8" s="320">
        <v>0</v>
      </c>
      <c r="L8" s="33"/>
      <c r="M8" s="51">
        <f t="shared" si="3"/>
        <v>0</v>
      </c>
      <c r="Q8" s="53">
        <f t="shared" si="4"/>
        <v>0</v>
      </c>
      <c r="R8" s="53">
        <f t="shared" si="1"/>
        <v>0</v>
      </c>
      <c r="S8" s="53">
        <f t="shared" si="1"/>
        <v>0</v>
      </c>
      <c r="T8" s="53">
        <f t="shared" si="1"/>
        <v>0</v>
      </c>
      <c r="U8" s="53">
        <f t="shared" si="1"/>
        <v>0</v>
      </c>
      <c r="V8" s="53">
        <f t="shared" si="1"/>
        <v>0</v>
      </c>
      <c r="W8" s="53">
        <f t="shared" si="1"/>
        <v>0</v>
      </c>
      <c r="X8" s="53">
        <f t="shared" si="1"/>
        <v>0</v>
      </c>
      <c r="Y8" s="53">
        <f t="shared" si="1"/>
        <v>0</v>
      </c>
      <c r="Z8" s="53">
        <f t="shared" si="1"/>
        <v>0</v>
      </c>
      <c r="AA8" s="53">
        <f t="shared" si="1"/>
        <v>0</v>
      </c>
      <c r="AB8" s="53">
        <f t="shared" si="1"/>
        <v>0</v>
      </c>
      <c r="AC8" s="53">
        <f t="shared" si="1"/>
        <v>0</v>
      </c>
      <c r="AD8" s="53">
        <f t="shared" si="1"/>
        <v>0</v>
      </c>
      <c r="AE8" s="53">
        <f t="shared" si="1"/>
        <v>0</v>
      </c>
      <c r="AF8" s="53">
        <f t="shared" si="1"/>
        <v>0</v>
      </c>
      <c r="AG8" s="53">
        <f t="shared" si="1"/>
        <v>0</v>
      </c>
      <c r="AH8" s="53">
        <f t="shared" si="2"/>
        <v>0</v>
      </c>
      <c r="AI8" s="53">
        <f t="shared" si="2"/>
        <v>0</v>
      </c>
      <c r="AJ8" s="53">
        <f t="shared" si="2"/>
        <v>0</v>
      </c>
      <c r="AK8" s="53">
        <f t="shared" si="2"/>
        <v>0</v>
      </c>
    </row>
    <row r="9" spans="1:37" ht="34">
      <c r="A9" s="33" t="s">
        <v>89</v>
      </c>
      <c r="B9" s="319">
        <v>1106.6137550000001</v>
      </c>
      <c r="C9" s="319">
        <v>0</v>
      </c>
      <c r="D9" s="319">
        <v>0</v>
      </c>
      <c r="E9" s="319">
        <v>122.73127700000001</v>
      </c>
      <c r="F9" s="319">
        <v>0</v>
      </c>
      <c r="G9" s="319">
        <v>0</v>
      </c>
      <c r="H9" s="34">
        <f t="shared" si="0"/>
        <v>1229.3450320000002</v>
      </c>
      <c r="I9" s="35">
        <f t="shared" si="5"/>
        <v>1229.3450320000002</v>
      </c>
      <c r="J9" s="33" t="s">
        <v>90</v>
      </c>
      <c r="K9" s="320">
        <v>0</v>
      </c>
      <c r="L9" s="33"/>
      <c r="M9" s="51">
        <f t="shared" si="3"/>
        <v>0</v>
      </c>
      <c r="Q9" s="53">
        <f t="shared" si="4"/>
        <v>0</v>
      </c>
      <c r="R9" s="53">
        <f t="shared" si="1"/>
        <v>0</v>
      </c>
      <c r="S9" s="53">
        <f t="shared" si="1"/>
        <v>0</v>
      </c>
      <c r="T9" s="53">
        <f t="shared" si="1"/>
        <v>0</v>
      </c>
      <c r="U9" s="53">
        <f t="shared" si="1"/>
        <v>0</v>
      </c>
      <c r="V9" s="53">
        <f t="shared" si="1"/>
        <v>0</v>
      </c>
      <c r="W9" s="53">
        <f t="shared" si="1"/>
        <v>0</v>
      </c>
      <c r="X9" s="53">
        <f t="shared" si="1"/>
        <v>0</v>
      </c>
      <c r="Y9" s="53">
        <f t="shared" si="1"/>
        <v>0</v>
      </c>
      <c r="Z9" s="53">
        <f t="shared" si="1"/>
        <v>0</v>
      </c>
      <c r="AA9" s="53">
        <f t="shared" si="1"/>
        <v>0</v>
      </c>
      <c r="AB9" s="53">
        <f t="shared" si="1"/>
        <v>0</v>
      </c>
      <c r="AC9" s="53">
        <f t="shared" si="1"/>
        <v>0</v>
      </c>
      <c r="AD9" s="53">
        <f t="shared" si="1"/>
        <v>0</v>
      </c>
      <c r="AE9" s="53">
        <f t="shared" si="1"/>
        <v>0</v>
      </c>
      <c r="AF9" s="53">
        <f t="shared" si="1"/>
        <v>0</v>
      </c>
      <c r="AG9" s="53">
        <f t="shared" si="1"/>
        <v>0</v>
      </c>
      <c r="AH9" s="53">
        <f t="shared" si="2"/>
        <v>0</v>
      </c>
      <c r="AI9" s="53">
        <f t="shared" si="2"/>
        <v>0</v>
      </c>
      <c r="AJ9" s="53">
        <f t="shared" si="2"/>
        <v>0</v>
      </c>
      <c r="AK9" s="53">
        <f t="shared" si="2"/>
        <v>0</v>
      </c>
    </row>
    <row r="10" spans="1:37" ht="34">
      <c r="A10" s="33" t="s">
        <v>91</v>
      </c>
      <c r="B10" s="319">
        <v>348.66393299999999</v>
      </c>
      <c r="C10" s="319">
        <v>0</v>
      </c>
      <c r="D10" s="319">
        <v>0</v>
      </c>
      <c r="E10" s="319">
        <v>13.877188</v>
      </c>
      <c r="F10" s="319">
        <v>0</v>
      </c>
      <c r="G10" s="319">
        <v>0</v>
      </c>
      <c r="H10" s="34">
        <f t="shared" si="0"/>
        <v>362.54112099999998</v>
      </c>
      <c r="I10" s="35">
        <f t="shared" si="5"/>
        <v>362.54112099999998</v>
      </c>
      <c r="J10" s="33" t="s">
        <v>92</v>
      </c>
      <c r="K10" s="320">
        <v>0</v>
      </c>
      <c r="L10" s="33"/>
      <c r="M10" s="51">
        <f t="shared" si="3"/>
        <v>0</v>
      </c>
      <c r="Q10" s="53">
        <f t="shared" si="4"/>
        <v>0</v>
      </c>
      <c r="R10" s="53">
        <f t="shared" si="1"/>
        <v>0</v>
      </c>
      <c r="S10" s="53">
        <f t="shared" si="1"/>
        <v>0</v>
      </c>
      <c r="T10" s="53">
        <f t="shared" si="1"/>
        <v>0</v>
      </c>
      <c r="U10" s="53">
        <f t="shared" si="1"/>
        <v>0</v>
      </c>
      <c r="V10" s="53">
        <f t="shared" si="1"/>
        <v>0</v>
      </c>
      <c r="W10" s="53">
        <f t="shared" si="1"/>
        <v>0</v>
      </c>
      <c r="X10" s="53">
        <f t="shared" si="1"/>
        <v>0</v>
      </c>
      <c r="Y10" s="53">
        <f t="shared" si="1"/>
        <v>0</v>
      </c>
      <c r="Z10" s="53">
        <f t="shared" si="1"/>
        <v>0</v>
      </c>
      <c r="AA10" s="53">
        <f t="shared" si="1"/>
        <v>0</v>
      </c>
      <c r="AB10" s="53">
        <f t="shared" si="1"/>
        <v>0</v>
      </c>
      <c r="AC10" s="53">
        <f t="shared" si="1"/>
        <v>0</v>
      </c>
      <c r="AD10" s="53">
        <f t="shared" si="1"/>
        <v>0</v>
      </c>
      <c r="AE10" s="53">
        <f t="shared" si="1"/>
        <v>0</v>
      </c>
      <c r="AF10" s="53">
        <f t="shared" si="1"/>
        <v>0</v>
      </c>
      <c r="AG10" s="53">
        <f t="shared" si="1"/>
        <v>0</v>
      </c>
      <c r="AH10" s="53">
        <f t="shared" si="2"/>
        <v>0</v>
      </c>
      <c r="AI10" s="53">
        <f t="shared" si="2"/>
        <v>0</v>
      </c>
      <c r="AJ10" s="53">
        <f t="shared" si="2"/>
        <v>0</v>
      </c>
      <c r="AK10" s="53">
        <f t="shared" si="2"/>
        <v>0</v>
      </c>
    </row>
    <row r="11" spans="1:37" ht="34">
      <c r="A11" s="33" t="s">
        <v>93</v>
      </c>
      <c r="B11" s="319">
        <v>0</v>
      </c>
      <c r="C11" s="319">
        <v>0</v>
      </c>
      <c r="D11" s="319">
        <v>161.703</v>
      </c>
      <c r="E11" s="319">
        <v>0</v>
      </c>
      <c r="F11" s="319">
        <v>0</v>
      </c>
      <c r="G11" s="319">
        <v>0</v>
      </c>
      <c r="H11" s="34">
        <f t="shared" si="0"/>
        <v>161.703</v>
      </c>
      <c r="I11" s="35">
        <f t="shared" si="5"/>
        <v>161.703</v>
      </c>
      <c r="J11" s="33" t="s">
        <v>94</v>
      </c>
      <c r="K11" s="320">
        <v>2021</v>
      </c>
      <c r="L11" s="33">
        <f>+I11</f>
        <v>161.703</v>
      </c>
      <c r="M11" s="51">
        <f t="shared" si="3"/>
        <v>161.703</v>
      </c>
      <c r="Q11" s="53">
        <f t="shared" si="4"/>
        <v>0</v>
      </c>
      <c r="R11" s="53">
        <f t="shared" si="1"/>
        <v>0</v>
      </c>
      <c r="S11" s="53">
        <f t="shared" si="1"/>
        <v>161.703</v>
      </c>
      <c r="T11" s="53">
        <f t="shared" si="1"/>
        <v>0</v>
      </c>
      <c r="U11" s="53">
        <f t="shared" si="1"/>
        <v>0</v>
      </c>
      <c r="V11" s="53">
        <f t="shared" si="1"/>
        <v>0</v>
      </c>
      <c r="W11" s="53">
        <f t="shared" si="1"/>
        <v>0</v>
      </c>
      <c r="X11" s="53">
        <f t="shared" si="1"/>
        <v>0</v>
      </c>
      <c r="Y11" s="53">
        <f t="shared" si="1"/>
        <v>0</v>
      </c>
      <c r="Z11" s="53">
        <f t="shared" si="1"/>
        <v>0</v>
      </c>
      <c r="AA11" s="53">
        <f t="shared" si="1"/>
        <v>0</v>
      </c>
      <c r="AB11" s="53">
        <f t="shared" si="1"/>
        <v>0</v>
      </c>
      <c r="AC11" s="53">
        <f t="shared" si="1"/>
        <v>0</v>
      </c>
      <c r="AD11" s="53">
        <f t="shared" si="1"/>
        <v>0</v>
      </c>
      <c r="AE11" s="53">
        <f t="shared" si="1"/>
        <v>0</v>
      </c>
      <c r="AF11" s="53">
        <f t="shared" si="1"/>
        <v>0</v>
      </c>
      <c r="AG11" s="53">
        <f t="shared" si="1"/>
        <v>0</v>
      </c>
      <c r="AH11" s="53">
        <f t="shared" si="2"/>
        <v>0</v>
      </c>
      <c r="AI11" s="53">
        <f t="shared" si="2"/>
        <v>0</v>
      </c>
      <c r="AJ11" s="53">
        <f t="shared" si="2"/>
        <v>0</v>
      </c>
      <c r="AK11" s="53">
        <f t="shared" si="2"/>
        <v>0</v>
      </c>
    </row>
    <row r="12" spans="1:37" ht="17">
      <c r="A12" s="33" t="s">
        <v>95</v>
      </c>
      <c r="B12" s="319">
        <v>99.068016</v>
      </c>
      <c r="C12" s="319">
        <v>0</v>
      </c>
      <c r="D12" s="319">
        <v>0</v>
      </c>
      <c r="E12" s="319">
        <v>0</v>
      </c>
      <c r="F12" s="319">
        <v>0</v>
      </c>
      <c r="G12" s="319">
        <v>0</v>
      </c>
      <c r="H12" s="34">
        <f t="shared" si="0"/>
        <v>99.068016</v>
      </c>
      <c r="I12" s="35">
        <f t="shared" si="5"/>
        <v>99.068016</v>
      </c>
      <c r="J12" s="33" t="s">
        <v>96</v>
      </c>
      <c r="K12" s="320">
        <v>2021</v>
      </c>
      <c r="L12" s="33">
        <f>+I12</f>
        <v>99.068016</v>
      </c>
      <c r="M12" s="51">
        <f t="shared" si="3"/>
        <v>99.068016</v>
      </c>
      <c r="Q12" s="53">
        <f t="shared" si="4"/>
        <v>0</v>
      </c>
      <c r="R12" s="53">
        <f t="shared" si="1"/>
        <v>0</v>
      </c>
      <c r="S12" s="53">
        <f t="shared" si="1"/>
        <v>99.068016</v>
      </c>
      <c r="T12" s="53">
        <f t="shared" si="1"/>
        <v>0</v>
      </c>
      <c r="U12" s="53">
        <f t="shared" si="1"/>
        <v>0</v>
      </c>
      <c r="V12" s="53">
        <f t="shared" si="1"/>
        <v>0</v>
      </c>
      <c r="W12" s="53">
        <f t="shared" si="1"/>
        <v>0</v>
      </c>
      <c r="X12" s="53">
        <f t="shared" si="1"/>
        <v>0</v>
      </c>
      <c r="Y12" s="53">
        <f t="shared" si="1"/>
        <v>0</v>
      </c>
      <c r="Z12" s="53">
        <f t="shared" si="1"/>
        <v>0</v>
      </c>
      <c r="AA12" s="53">
        <f t="shared" si="1"/>
        <v>0</v>
      </c>
      <c r="AB12" s="53">
        <f t="shared" si="1"/>
        <v>0</v>
      </c>
      <c r="AC12" s="53">
        <f t="shared" si="1"/>
        <v>0</v>
      </c>
      <c r="AD12" s="53">
        <f t="shared" si="1"/>
        <v>0</v>
      </c>
      <c r="AE12" s="53">
        <f t="shared" si="1"/>
        <v>0</v>
      </c>
      <c r="AF12" s="53">
        <f t="shared" si="1"/>
        <v>0</v>
      </c>
      <c r="AG12" s="53">
        <f t="shared" si="1"/>
        <v>0</v>
      </c>
      <c r="AH12" s="53">
        <f t="shared" si="2"/>
        <v>0</v>
      </c>
      <c r="AI12" s="53">
        <f t="shared" si="2"/>
        <v>0</v>
      </c>
      <c r="AJ12" s="53">
        <f t="shared" si="2"/>
        <v>0</v>
      </c>
      <c r="AK12" s="53">
        <f t="shared" si="2"/>
        <v>0</v>
      </c>
    </row>
    <row r="13" spans="1:37" ht="34">
      <c r="A13" s="33" t="s">
        <v>97</v>
      </c>
      <c r="B13" s="319">
        <v>0</v>
      </c>
      <c r="C13" s="319">
        <v>0</v>
      </c>
      <c r="D13" s="319">
        <v>0</v>
      </c>
      <c r="E13" s="319">
        <v>0</v>
      </c>
      <c r="F13" s="319">
        <v>86.254075</v>
      </c>
      <c r="G13" s="319">
        <v>0</v>
      </c>
      <c r="H13" s="34">
        <f t="shared" si="0"/>
        <v>86.254075</v>
      </c>
      <c r="I13" s="35">
        <f t="shared" si="5"/>
        <v>86.254075</v>
      </c>
      <c r="J13" s="33" t="s">
        <v>98</v>
      </c>
      <c r="K13" s="320">
        <v>2019</v>
      </c>
      <c r="L13" s="33">
        <v>50</v>
      </c>
      <c r="M13" s="51">
        <f t="shared" si="3"/>
        <v>50</v>
      </c>
      <c r="Q13" s="53">
        <f t="shared" si="4"/>
        <v>50</v>
      </c>
      <c r="R13" s="53">
        <f t="shared" si="1"/>
        <v>0</v>
      </c>
      <c r="S13" s="53">
        <f t="shared" si="1"/>
        <v>0</v>
      </c>
      <c r="T13" s="53">
        <f t="shared" si="1"/>
        <v>0</v>
      </c>
      <c r="U13" s="53">
        <f t="shared" si="1"/>
        <v>0</v>
      </c>
      <c r="V13" s="53">
        <f t="shared" si="1"/>
        <v>0</v>
      </c>
      <c r="W13" s="53">
        <f t="shared" si="1"/>
        <v>0</v>
      </c>
      <c r="X13" s="53">
        <f t="shared" si="1"/>
        <v>0</v>
      </c>
      <c r="Y13" s="53">
        <f t="shared" si="1"/>
        <v>0</v>
      </c>
      <c r="Z13" s="53">
        <f t="shared" si="1"/>
        <v>0</v>
      </c>
      <c r="AA13" s="53">
        <f t="shared" si="1"/>
        <v>0</v>
      </c>
      <c r="AB13" s="53">
        <f t="shared" si="1"/>
        <v>0</v>
      </c>
      <c r="AC13" s="53">
        <f t="shared" si="1"/>
        <v>0</v>
      </c>
      <c r="AD13" s="53">
        <f t="shared" si="1"/>
        <v>0</v>
      </c>
      <c r="AE13" s="53">
        <f t="shared" si="1"/>
        <v>0</v>
      </c>
      <c r="AF13" s="53">
        <f t="shared" si="1"/>
        <v>0</v>
      </c>
      <c r="AG13" s="53">
        <f t="shared" si="1"/>
        <v>0</v>
      </c>
      <c r="AH13" s="53">
        <f t="shared" si="2"/>
        <v>0</v>
      </c>
      <c r="AI13" s="53">
        <f t="shared" si="2"/>
        <v>0</v>
      </c>
      <c r="AJ13" s="53">
        <f t="shared" si="2"/>
        <v>0</v>
      </c>
      <c r="AK13" s="53">
        <f t="shared" si="2"/>
        <v>0</v>
      </c>
    </row>
    <row r="14" spans="1:37" ht="17">
      <c r="A14" s="33" t="s">
        <v>0</v>
      </c>
      <c r="B14" s="319">
        <v>0</v>
      </c>
      <c r="C14" s="319">
        <v>0</v>
      </c>
      <c r="D14" s="319">
        <v>0</v>
      </c>
      <c r="E14" s="319">
        <v>642.44771900000001</v>
      </c>
      <c r="F14" s="319">
        <v>0</v>
      </c>
      <c r="G14" s="319">
        <v>0</v>
      </c>
      <c r="H14" s="34">
        <f t="shared" si="0"/>
        <v>642.44771900000001</v>
      </c>
      <c r="I14" s="35">
        <f t="shared" si="5"/>
        <v>642.44771900000001</v>
      </c>
      <c r="J14" s="33" t="s">
        <v>129</v>
      </c>
      <c r="K14" s="320">
        <v>2019</v>
      </c>
      <c r="L14" s="33">
        <v>145</v>
      </c>
      <c r="M14" s="51">
        <v>145</v>
      </c>
      <c r="Q14" s="53">
        <f t="shared" si="4"/>
        <v>145</v>
      </c>
      <c r="R14" s="53">
        <f t="shared" si="1"/>
        <v>0</v>
      </c>
      <c r="S14" s="53">
        <f t="shared" si="1"/>
        <v>0</v>
      </c>
      <c r="T14" s="53">
        <f t="shared" si="1"/>
        <v>0</v>
      </c>
      <c r="U14" s="53">
        <f t="shared" si="1"/>
        <v>0</v>
      </c>
      <c r="V14" s="53">
        <f t="shared" si="1"/>
        <v>0</v>
      </c>
      <c r="W14" s="53">
        <f t="shared" si="1"/>
        <v>0</v>
      </c>
      <c r="X14" s="53">
        <f t="shared" si="1"/>
        <v>0</v>
      </c>
      <c r="Y14" s="53">
        <f t="shared" si="1"/>
        <v>0</v>
      </c>
      <c r="Z14" s="53">
        <f t="shared" si="1"/>
        <v>0</v>
      </c>
      <c r="AA14" s="53">
        <f t="shared" si="1"/>
        <v>0</v>
      </c>
      <c r="AB14" s="53">
        <f t="shared" si="1"/>
        <v>0</v>
      </c>
      <c r="AC14" s="53">
        <f t="shared" si="1"/>
        <v>0</v>
      </c>
      <c r="AD14" s="53">
        <f t="shared" si="1"/>
        <v>0</v>
      </c>
      <c r="AE14" s="53">
        <f t="shared" si="1"/>
        <v>0</v>
      </c>
      <c r="AF14" s="53">
        <f t="shared" si="1"/>
        <v>0</v>
      </c>
      <c r="AG14" s="53">
        <f t="shared" si="1"/>
        <v>0</v>
      </c>
      <c r="AH14" s="53">
        <f t="shared" si="2"/>
        <v>0</v>
      </c>
      <c r="AI14" s="53">
        <f t="shared" si="2"/>
        <v>0</v>
      </c>
      <c r="AJ14" s="53">
        <f t="shared" si="2"/>
        <v>0</v>
      </c>
      <c r="AK14" s="53">
        <f t="shared" si="2"/>
        <v>0</v>
      </c>
    </row>
    <row r="15" spans="1:37" ht="34">
      <c r="A15" s="33" t="s">
        <v>99</v>
      </c>
      <c r="B15" s="319">
        <v>0</v>
      </c>
      <c r="C15" s="319">
        <v>0</v>
      </c>
      <c r="D15" s="319">
        <v>76.358000000000004</v>
      </c>
      <c r="E15" s="319">
        <v>0</v>
      </c>
      <c r="F15" s="319">
        <v>0</v>
      </c>
      <c r="G15" s="319">
        <v>0</v>
      </c>
      <c r="H15" s="34">
        <f t="shared" si="0"/>
        <v>76.358000000000004</v>
      </c>
      <c r="I15" s="35">
        <f t="shared" si="5"/>
        <v>76.358000000000004</v>
      </c>
      <c r="J15" s="33" t="s">
        <v>100</v>
      </c>
      <c r="K15" s="320">
        <v>0</v>
      </c>
      <c r="L15" s="33">
        <v>0</v>
      </c>
      <c r="M15" s="51">
        <f t="shared" si="3"/>
        <v>0</v>
      </c>
      <c r="Q15" s="53">
        <f t="shared" si="4"/>
        <v>0</v>
      </c>
      <c r="R15" s="53">
        <f t="shared" si="1"/>
        <v>0</v>
      </c>
      <c r="S15" s="53">
        <f t="shared" si="1"/>
        <v>0</v>
      </c>
      <c r="T15" s="53">
        <f t="shared" si="1"/>
        <v>0</v>
      </c>
      <c r="U15" s="53">
        <f t="shared" si="1"/>
        <v>0</v>
      </c>
      <c r="V15" s="53">
        <f t="shared" si="1"/>
        <v>0</v>
      </c>
      <c r="W15" s="53">
        <f t="shared" si="1"/>
        <v>0</v>
      </c>
      <c r="X15" s="53">
        <f t="shared" si="1"/>
        <v>0</v>
      </c>
      <c r="Y15" s="53">
        <f t="shared" si="1"/>
        <v>0</v>
      </c>
      <c r="Z15" s="53">
        <f t="shared" si="1"/>
        <v>0</v>
      </c>
      <c r="AA15" s="53">
        <f t="shared" si="1"/>
        <v>0</v>
      </c>
      <c r="AB15" s="53">
        <f t="shared" si="1"/>
        <v>0</v>
      </c>
      <c r="AC15" s="53">
        <f t="shared" si="1"/>
        <v>0</v>
      </c>
      <c r="AD15" s="53">
        <f t="shared" si="1"/>
        <v>0</v>
      </c>
      <c r="AE15" s="53">
        <f t="shared" si="1"/>
        <v>0</v>
      </c>
      <c r="AF15" s="53">
        <f t="shared" si="1"/>
        <v>0</v>
      </c>
      <c r="AG15" s="53">
        <f t="shared" si="1"/>
        <v>0</v>
      </c>
      <c r="AH15" s="53">
        <f t="shared" si="2"/>
        <v>0</v>
      </c>
      <c r="AI15" s="53">
        <f t="shared" si="2"/>
        <v>0</v>
      </c>
      <c r="AJ15" s="53">
        <f t="shared" si="2"/>
        <v>0</v>
      </c>
      <c r="AK15" s="53">
        <f t="shared" si="2"/>
        <v>0</v>
      </c>
    </row>
    <row r="16" spans="1:37">
      <c r="A16" s="35"/>
      <c r="B16" s="36">
        <f t="shared" ref="B16:I16" si="6">SUM(B6:B15)</f>
        <v>3163.1077489999998</v>
      </c>
      <c r="C16" s="36">
        <f t="shared" si="6"/>
        <v>0</v>
      </c>
      <c r="D16" s="36">
        <f t="shared" si="6"/>
        <v>238.06100000000001</v>
      </c>
      <c r="E16" s="36">
        <f t="shared" si="6"/>
        <v>779.05618400000003</v>
      </c>
      <c r="F16" s="36">
        <f t="shared" si="6"/>
        <v>86.254075</v>
      </c>
      <c r="G16" s="36">
        <f t="shared" si="6"/>
        <v>1649.19696</v>
      </c>
      <c r="H16" s="36">
        <f t="shared" si="6"/>
        <v>5915.6759680000005</v>
      </c>
      <c r="I16" s="36">
        <f t="shared" si="6"/>
        <v>5915.6759680000005</v>
      </c>
      <c r="J16" s="33"/>
      <c r="K16" s="33"/>
      <c r="L16" s="37">
        <f>SUM(L6:L15)</f>
        <v>1672.6868109999998</v>
      </c>
      <c r="M16" s="37">
        <f>SUM(M6:M15)</f>
        <v>1672.6868109999998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</row>
    <row r="17" spans="1:37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</row>
    <row r="18" spans="1:37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1:37" ht="19">
      <c r="A19" s="392" t="s">
        <v>101</v>
      </c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</row>
    <row r="20" spans="1:37" ht="48">
      <c r="A20" s="36" t="s">
        <v>70</v>
      </c>
      <c r="B20" s="34" t="s">
        <v>71</v>
      </c>
      <c r="C20" s="34" t="s">
        <v>72</v>
      </c>
      <c r="D20" s="34" t="s">
        <v>73</v>
      </c>
      <c r="E20" s="34" t="s">
        <v>74</v>
      </c>
      <c r="F20" s="39" t="s">
        <v>75</v>
      </c>
      <c r="G20" s="39" t="s">
        <v>76</v>
      </c>
      <c r="H20" s="34" t="s">
        <v>77</v>
      </c>
      <c r="I20" s="40" t="s">
        <v>78</v>
      </c>
      <c r="J20" s="41" t="s">
        <v>79</v>
      </c>
      <c r="K20" s="40" t="s">
        <v>80</v>
      </c>
      <c r="L20" s="40" t="str">
        <f>+L5</f>
        <v>Recup. Patrimonio esperada c.p.</v>
      </c>
      <c r="M20" s="30" t="str">
        <f>+M5</f>
        <v>Recup caja esperada c.p.</v>
      </c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</row>
    <row r="21" spans="1:37" ht="17">
      <c r="A21" s="42" t="s">
        <v>102</v>
      </c>
      <c r="B21" s="321">
        <v>6562.7840150000002</v>
      </c>
      <c r="C21" s="321">
        <v>0</v>
      </c>
      <c r="D21" s="321">
        <v>0</v>
      </c>
      <c r="E21" s="321">
        <v>0</v>
      </c>
      <c r="F21" s="321">
        <v>0</v>
      </c>
      <c r="G21" s="321">
        <v>0</v>
      </c>
      <c r="H21" s="35">
        <f>SUM(B21:G21)</f>
        <v>6562.7840150000002</v>
      </c>
      <c r="I21" s="35">
        <v>0</v>
      </c>
      <c r="J21" s="35" t="s">
        <v>103</v>
      </c>
      <c r="K21" s="321">
        <v>2022</v>
      </c>
      <c r="L21" s="35">
        <v>0</v>
      </c>
      <c r="M21" s="35">
        <v>6000</v>
      </c>
      <c r="N21" s="32"/>
      <c r="Q21" s="53">
        <f t="shared" ref="Q21:AK25" si="7">+IF(Q$5=$K21,$M21,0)</f>
        <v>0</v>
      </c>
      <c r="R21" s="53">
        <f t="shared" si="7"/>
        <v>0</v>
      </c>
      <c r="S21" s="53">
        <f t="shared" si="7"/>
        <v>0</v>
      </c>
      <c r="T21" s="53">
        <f t="shared" si="7"/>
        <v>6000</v>
      </c>
      <c r="U21" s="53">
        <f t="shared" si="7"/>
        <v>0</v>
      </c>
      <c r="V21" s="53">
        <f t="shared" si="7"/>
        <v>0</v>
      </c>
      <c r="W21" s="53">
        <f t="shared" si="7"/>
        <v>0</v>
      </c>
      <c r="X21" s="53">
        <f t="shared" si="7"/>
        <v>0</v>
      </c>
      <c r="Y21" s="53">
        <f t="shared" si="7"/>
        <v>0</v>
      </c>
      <c r="Z21" s="53">
        <f t="shared" si="7"/>
        <v>0</v>
      </c>
      <c r="AA21" s="53">
        <f t="shared" si="7"/>
        <v>0</v>
      </c>
      <c r="AB21" s="53">
        <f t="shared" si="7"/>
        <v>0</v>
      </c>
      <c r="AC21" s="53">
        <f t="shared" si="7"/>
        <v>0</v>
      </c>
      <c r="AD21" s="53">
        <f t="shared" si="7"/>
        <v>0</v>
      </c>
      <c r="AE21" s="53">
        <f t="shared" si="7"/>
        <v>0</v>
      </c>
      <c r="AF21" s="53">
        <f t="shared" si="7"/>
        <v>0</v>
      </c>
      <c r="AG21" s="53">
        <f t="shared" si="7"/>
        <v>0</v>
      </c>
      <c r="AH21" s="53">
        <f t="shared" si="7"/>
        <v>0</v>
      </c>
      <c r="AI21" s="53">
        <f t="shared" si="7"/>
        <v>0</v>
      </c>
      <c r="AJ21" s="53">
        <f t="shared" si="7"/>
        <v>0</v>
      </c>
      <c r="AK21" s="53">
        <f t="shared" si="7"/>
        <v>0</v>
      </c>
    </row>
    <row r="22" spans="1:37" ht="17">
      <c r="A22" s="42" t="s">
        <v>104</v>
      </c>
      <c r="B22" s="321">
        <v>0</v>
      </c>
      <c r="C22" s="321">
        <v>6591.7007960000001</v>
      </c>
      <c r="D22" s="321">
        <v>0</v>
      </c>
      <c r="E22" s="321">
        <v>0</v>
      </c>
      <c r="F22" s="321">
        <v>0</v>
      </c>
      <c r="G22" s="321">
        <v>0</v>
      </c>
      <c r="H22" s="35">
        <f>SUM(B22:G22)</f>
        <v>6591.7007960000001</v>
      </c>
      <c r="I22" s="35">
        <v>0</v>
      </c>
      <c r="J22" s="35" t="s">
        <v>105</v>
      </c>
      <c r="K22" s="321"/>
      <c r="L22" s="35">
        <v>-6592</v>
      </c>
      <c r="M22" s="35"/>
      <c r="Q22" s="53">
        <f t="shared" si="7"/>
        <v>0</v>
      </c>
      <c r="R22" s="53">
        <f t="shared" si="7"/>
        <v>0</v>
      </c>
      <c r="S22" s="53">
        <f t="shared" si="7"/>
        <v>0</v>
      </c>
      <c r="T22" s="53">
        <f t="shared" si="7"/>
        <v>0</v>
      </c>
      <c r="U22" s="53">
        <f t="shared" si="7"/>
        <v>0</v>
      </c>
      <c r="V22" s="53">
        <f t="shared" si="7"/>
        <v>0</v>
      </c>
      <c r="W22" s="53">
        <f t="shared" si="7"/>
        <v>0</v>
      </c>
      <c r="X22" s="53">
        <f t="shared" si="7"/>
        <v>0</v>
      </c>
      <c r="Y22" s="53">
        <f t="shared" si="7"/>
        <v>0</v>
      </c>
      <c r="Z22" s="53">
        <f t="shared" si="7"/>
        <v>0</v>
      </c>
      <c r="AA22" s="53">
        <f t="shared" si="7"/>
        <v>0</v>
      </c>
      <c r="AB22" s="53">
        <f t="shared" si="7"/>
        <v>0</v>
      </c>
      <c r="AC22" s="53">
        <f t="shared" si="7"/>
        <v>0</v>
      </c>
      <c r="AD22" s="53">
        <f t="shared" si="7"/>
        <v>0</v>
      </c>
      <c r="AE22" s="53">
        <f t="shared" si="7"/>
        <v>0</v>
      </c>
      <c r="AF22" s="53">
        <f t="shared" si="7"/>
        <v>0</v>
      </c>
      <c r="AG22" s="53">
        <f t="shared" si="7"/>
        <v>0</v>
      </c>
      <c r="AH22" s="53">
        <f t="shared" si="7"/>
        <v>0</v>
      </c>
      <c r="AI22" s="53">
        <f t="shared" si="7"/>
        <v>0</v>
      </c>
      <c r="AJ22" s="53">
        <f t="shared" si="7"/>
        <v>0</v>
      </c>
      <c r="AK22" s="53">
        <f t="shared" si="7"/>
        <v>0</v>
      </c>
    </row>
    <row r="23" spans="1:37" ht="17">
      <c r="A23" s="42" t="s">
        <v>106</v>
      </c>
      <c r="B23" s="321">
        <v>0</v>
      </c>
      <c r="C23" s="321">
        <v>920.09000001000004</v>
      </c>
      <c r="D23" s="321">
        <v>0</v>
      </c>
      <c r="E23" s="321">
        <v>0</v>
      </c>
      <c r="F23" s="321">
        <v>0</v>
      </c>
      <c r="G23" s="321">
        <v>0</v>
      </c>
      <c r="H23" s="35">
        <f>SUM(B23:G23)</f>
        <v>920.09000001000004</v>
      </c>
      <c r="I23" s="35">
        <v>0</v>
      </c>
      <c r="J23" s="35" t="s">
        <v>107</v>
      </c>
      <c r="K23" s="321">
        <v>2019</v>
      </c>
      <c r="L23" s="35"/>
      <c r="M23" s="35">
        <f>+H23</f>
        <v>920.09000001000004</v>
      </c>
      <c r="Q23" s="53">
        <f t="shared" si="7"/>
        <v>920.09000001000004</v>
      </c>
      <c r="R23" s="53">
        <f t="shared" si="7"/>
        <v>0</v>
      </c>
      <c r="S23" s="53">
        <f t="shared" si="7"/>
        <v>0</v>
      </c>
      <c r="T23" s="53">
        <f t="shared" si="7"/>
        <v>0</v>
      </c>
      <c r="U23" s="53">
        <f t="shared" si="7"/>
        <v>0</v>
      </c>
      <c r="V23" s="53">
        <f t="shared" si="7"/>
        <v>0</v>
      </c>
      <c r="W23" s="53">
        <f t="shared" si="7"/>
        <v>0</v>
      </c>
      <c r="X23" s="53">
        <f t="shared" si="7"/>
        <v>0</v>
      </c>
      <c r="Y23" s="53">
        <f t="shared" si="7"/>
        <v>0</v>
      </c>
      <c r="Z23" s="53">
        <f t="shared" si="7"/>
        <v>0</v>
      </c>
      <c r="AA23" s="53">
        <f t="shared" si="7"/>
        <v>0</v>
      </c>
      <c r="AB23" s="53">
        <f t="shared" si="7"/>
        <v>0</v>
      </c>
      <c r="AC23" s="53">
        <f t="shared" si="7"/>
        <v>0</v>
      </c>
      <c r="AD23" s="53">
        <f t="shared" si="7"/>
        <v>0</v>
      </c>
      <c r="AE23" s="53">
        <f t="shared" si="7"/>
        <v>0</v>
      </c>
      <c r="AF23" s="53">
        <f t="shared" si="7"/>
        <v>0</v>
      </c>
      <c r="AG23" s="53">
        <f t="shared" si="7"/>
        <v>0</v>
      </c>
      <c r="AH23" s="53">
        <f t="shared" si="7"/>
        <v>0</v>
      </c>
      <c r="AI23" s="53">
        <f t="shared" si="7"/>
        <v>0</v>
      </c>
      <c r="AJ23" s="53">
        <f t="shared" si="7"/>
        <v>0</v>
      </c>
      <c r="AK23" s="53">
        <f t="shared" si="7"/>
        <v>0</v>
      </c>
    </row>
    <row r="24" spans="1:37" ht="34">
      <c r="A24" s="42" t="s">
        <v>108</v>
      </c>
      <c r="B24" s="321">
        <v>0</v>
      </c>
      <c r="C24" s="321">
        <v>0</v>
      </c>
      <c r="D24" s="321">
        <v>0</v>
      </c>
      <c r="E24" s="321">
        <v>0</v>
      </c>
      <c r="F24" s="321">
        <v>0</v>
      </c>
      <c r="G24" s="321">
        <v>559.35480199999995</v>
      </c>
      <c r="H24" s="35">
        <f>SUM(B24:G24)</f>
        <v>559.35480199999995</v>
      </c>
      <c r="I24" s="35">
        <f>+H24</f>
        <v>559.35480199999995</v>
      </c>
      <c r="J24" s="35" t="s">
        <v>109</v>
      </c>
      <c r="K24" s="321"/>
      <c r="L24" s="35"/>
      <c r="M24" s="35"/>
      <c r="Q24" s="53">
        <f t="shared" si="7"/>
        <v>0</v>
      </c>
      <c r="R24" s="53">
        <f t="shared" si="7"/>
        <v>0</v>
      </c>
      <c r="S24" s="53">
        <f t="shared" si="7"/>
        <v>0</v>
      </c>
      <c r="T24" s="53">
        <f t="shared" si="7"/>
        <v>0</v>
      </c>
      <c r="U24" s="53">
        <f t="shared" si="7"/>
        <v>0</v>
      </c>
      <c r="V24" s="53">
        <f t="shared" si="7"/>
        <v>0</v>
      </c>
      <c r="W24" s="53">
        <f t="shared" si="7"/>
        <v>0</v>
      </c>
      <c r="X24" s="53">
        <f t="shared" si="7"/>
        <v>0</v>
      </c>
      <c r="Y24" s="53">
        <f t="shared" si="7"/>
        <v>0</v>
      </c>
      <c r="Z24" s="53">
        <f t="shared" si="7"/>
        <v>0</v>
      </c>
      <c r="AA24" s="53">
        <f t="shared" si="7"/>
        <v>0</v>
      </c>
      <c r="AB24" s="53">
        <f t="shared" si="7"/>
        <v>0</v>
      </c>
      <c r="AC24" s="53">
        <f t="shared" si="7"/>
        <v>0</v>
      </c>
      <c r="AD24" s="53">
        <f t="shared" si="7"/>
        <v>0</v>
      </c>
      <c r="AE24" s="53">
        <f t="shared" si="7"/>
        <v>0</v>
      </c>
      <c r="AF24" s="53">
        <f t="shared" si="7"/>
        <v>0</v>
      </c>
      <c r="AG24" s="53">
        <f t="shared" si="7"/>
        <v>0</v>
      </c>
      <c r="AH24" s="53">
        <f t="shared" si="7"/>
        <v>0</v>
      </c>
      <c r="AI24" s="53">
        <f t="shared" si="7"/>
        <v>0</v>
      </c>
      <c r="AJ24" s="53">
        <f t="shared" si="7"/>
        <v>0</v>
      </c>
      <c r="AK24" s="53">
        <f t="shared" si="7"/>
        <v>0</v>
      </c>
    </row>
    <row r="25" spans="1:37" ht="34">
      <c r="A25" s="42" t="s">
        <v>110</v>
      </c>
      <c r="B25" s="321">
        <v>0</v>
      </c>
      <c r="C25" s="321">
        <v>0</v>
      </c>
      <c r="D25" s="321">
        <v>0</v>
      </c>
      <c r="E25" s="321">
        <v>0</v>
      </c>
      <c r="F25" s="321">
        <v>0</v>
      </c>
      <c r="G25" s="321">
        <v>122.33403</v>
      </c>
      <c r="H25" s="35">
        <f>SUM(B25:G25)</f>
        <v>122.33403</v>
      </c>
      <c r="I25" s="35">
        <v>0</v>
      </c>
      <c r="J25" s="35" t="s">
        <v>111</v>
      </c>
      <c r="K25" s="321">
        <v>2021</v>
      </c>
      <c r="L25" s="35">
        <f>+H25</f>
        <v>122.33403</v>
      </c>
      <c r="M25" s="35"/>
      <c r="Q25" s="53">
        <f t="shared" si="7"/>
        <v>0</v>
      </c>
      <c r="R25" s="53">
        <f t="shared" si="7"/>
        <v>0</v>
      </c>
      <c r="S25" s="53">
        <f t="shared" si="7"/>
        <v>0</v>
      </c>
      <c r="T25" s="53">
        <f t="shared" si="7"/>
        <v>0</v>
      </c>
      <c r="U25" s="53">
        <f t="shared" si="7"/>
        <v>0</v>
      </c>
      <c r="V25" s="53">
        <f t="shared" si="7"/>
        <v>0</v>
      </c>
      <c r="W25" s="53">
        <f t="shared" si="7"/>
        <v>0</v>
      </c>
      <c r="X25" s="53">
        <f t="shared" si="7"/>
        <v>0</v>
      </c>
      <c r="Y25" s="53">
        <f t="shared" si="7"/>
        <v>0</v>
      </c>
      <c r="Z25" s="53">
        <f t="shared" si="7"/>
        <v>0</v>
      </c>
      <c r="AA25" s="53">
        <f t="shared" si="7"/>
        <v>0</v>
      </c>
      <c r="AB25" s="53">
        <f t="shared" si="7"/>
        <v>0</v>
      </c>
      <c r="AC25" s="53">
        <f t="shared" si="7"/>
        <v>0</v>
      </c>
      <c r="AD25" s="53">
        <f t="shared" si="7"/>
        <v>0</v>
      </c>
      <c r="AE25" s="53">
        <f t="shared" si="7"/>
        <v>0</v>
      </c>
      <c r="AF25" s="53">
        <f t="shared" si="7"/>
        <v>0</v>
      </c>
      <c r="AG25" s="53">
        <f t="shared" si="7"/>
        <v>0</v>
      </c>
      <c r="AH25" s="53">
        <f t="shared" si="7"/>
        <v>0</v>
      </c>
      <c r="AI25" s="53">
        <f t="shared" si="7"/>
        <v>0</v>
      </c>
      <c r="AJ25" s="53">
        <f t="shared" si="7"/>
        <v>0</v>
      </c>
      <c r="AK25" s="53">
        <f t="shared" si="7"/>
        <v>0</v>
      </c>
    </row>
    <row r="26" spans="1:37">
      <c r="A26" s="35"/>
      <c r="B26" s="36">
        <f t="shared" ref="B26:I26" si="8">SUM(B21:B25)</f>
        <v>6562.7840150000002</v>
      </c>
      <c r="C26" s="36">
        <f t="shared" si="8"/>
        <v>7511.7907960100001</v>
      </c>
      <c r="D26" s="36">
        <f t="shared" si="8"/>
        <v>0</v>
      </c>
      <c r="E26" s="36">
        <f t="shared" si="8"/>
        <v>0</v>
      </c>
      <c r="F26" s="36">
        <f t="shared" si="8"/>
        <v>0</v>
      </c>
      <c r="G26" s="36">
        <f t="shared" si="8"/>
        <v>681.68883199999993</v>
      </c>
      <c r="H26" s="36">
        <f t="shared" si="8"/>
        <v>14756.263643009999</v>
      </c>
      <c r="I26" s="36">
        <f t="shared" si="8"/>
        <v>559.35480199999995</v>
      </c>
      <c r="J26" s="35"/>
      <c r="K26" s="35"/>
      <c r="L26" s="35">
        <f>+SUM(L21:L25)</f>
        <v>-6469.66597</v>
      </c>
      <c r="M26" s="35">
        <f>+SUM(M21:M25)</f>
        <v>6920.09000001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ht="19">
      <c r="A29" s="393" t="s">
        <v>112</v>
      </c>
      <c r="B29" s="394"/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ht="48">
      <c r="A30" s="43" t="s">
        <v>70</v>
      </c>
      <c r="B30" s="44" t="s">
        <v>71</v>
      </c>
      <c r="C30" s="44" t="s">
        <v>72</v>
      </c>
      <c r="D30" s="44" t="s">
        <v>73</v>
      </c>
      <c r="E30" s="44" t="s">
        <v>74</v>
      </c>
      <c r="F30" s="45" t="s">
        <v>75</v>
      </c>
      <c r="G30" s="45" t="s">
        <v>76</v>
      </c>
      <c r="H30" s="44" t="s">
        <v>77</v>
      </c>
      <c r="I30" s="40" t="s">
        <v>78</v>
      </c>
      <c r="J30" s="41" t="s">
        <v>79</v>
      </c>
      <c r="K30" s="40" t="s">
        <v>80</v>
      </c>
      <c r="L30" s="40" t="str">
        <f>+L20</f>
        <v>Recup. Patrimonio esperada c.p.</v>
      </c>
      <c r="M30" s="30" t="str">
        <f>+M20</f>
        <v>Recup caja esperada c.p.</v>
      </c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>
      <c r="A31" s="46" t="s">
        <v>113</v>
      </c>
      <c r="B31" s="319">
        <v>12000</v>
      </c>
      <c r="C31" s="321">
        <v>0</v>
      </c>
      <c r="D31" s="321">
        <v>0</v>
      </c>
      <c r="E31" s="321">
        <v>0</v>
      </c>
      <c r="F31" s="321">
        <v>0</v>
      </c>
      <c r="G31" s="321">
        <v>0</v>
      </c>
      <c r="H31" s="36">
        <f t="shared" ref="H31:H38" si="9">SUM(B31:G31)</f>
        <v>12000</v>
      </c>
      <c r="I31" s="35"/>
      <c r="J31" s="35" t="s">
        <v>621</v>
      </c>
      <c r="K31" s="35">
        <v>2022</v>
      </c>
      <c r="L31" s="35"/>
      <c r="M31" s="35">
        <v>1000</v>
      </c>
      <c r="Q31" s="53">
        <f t="shared" ref="Q31:AK40" si="10">+IF(Q$5=$K31,$M31,0)</f>
        <v>0</v>
      </c>
      <c r="R31" s="53">
        <f t="shared" si="10"/>
        <v>0</v>
      </c>
      <c r="S31" s="53">
        <f t="shared" si="10"/>
        <v>0</v>
      </c>
      <c r="T31" s="53">
        <f t="shared" si="10"/>
        <v>1000</v>
      </c>
      <c r="U31" s="53">
        <f t="shared" si="10"/>
        <v>0</v>
      </c>
      <c r="V31" s="53">
        <f t="shared" si="10"/>
        <v>0</v>
      </c>
      <c r="W31" s="53">
        <f t="shared" si="10"/>
        <v>0</v>
      </c>
      <c r="X31" s="53">
        <f t="shared" si="10"/>
        <v>0</v>
      </c>
      <c r="Y31" s="53">
        <f t="shared" si="10"/>
        <v>0</v>
      </c>
      <c r="Z31" s="53">
        <f t="shared" si="10"/>
        <v>0</v>
      </c>
      <c r="AA31" s="53">
        <f t="shared" si="10"/>
        <v>0</v>
      </c>
      <c r="AB31" s="53">
        <f t="shared" si="10"/>
        <v>0</v>
      </c>
      <c r="AC31" s="53">
        <f t="shared" si="10"/>
        <v>0</v>
      </c>
      <c r="AD31" s="53">
        <f t="shared" si="10"/>
        <v>0</v>
      </c>
      <c r="AE31" s="53">
        <f t="shared" si="10"/>
        <v>0</v>
      </c>
      <c r="AF31" s="53">
        <f t="shared" si="10"/>
        <v>0</v>
      </c>
      <c r="AG31" s="53">
        <f t="shared" si="10"/>
        <v>0</v>
      </c>
      <c r="AH31" s="53">
        <f t="shared" si="10"/>
        <v>0</v>
      </c>
      <c r="AI31" s="53">
        <f t="shared" si="10"/>
        <v>0</v>
      </c>
      <c r="AJ31" s="53">
        <f t="shared" si="10"/>
        <v>0</v>
      </c>
      <c r="AK31" s="53">
        <f t="shared" si="10"/>
        <v>0</v>
      </c>
    </row>
    <row r="32" spans="1:37">
      <c r="A32" s="47" t="s">
        <v>114</v>
      </c>
      <c r="B32" s="319">
        <v>15000</v>
      </c>
      <c r="C32" s="321">
        <v>0</v>
      </c>
      <c r="D32" s="321">
        <v>0</v>
      </c>
      <c r="E32" s="321">
        <v>0</v>
      </c>
      <c r="F32" s="321">
        <v>0</v>
      </c>
      <c r="G32" s="321">
        <v>0</v>
      </c>
      <c r="H32" s="36">
        <f t="shared" si="9"/>
        <v>15000</v>
      </c>
      <c r="I32" s="35"/>
      <c r="J32" s="35" t="s">
        <v>620</v>
      </c>
      <c r="K32" s="35">
        <v>2022</v>
      </c>
      <c r="L32" s="35"/>
      <c r="M32" s="35">
        <v>0</v>
      </c>
      <c r="Q32" s="53">
        <f t="shared" si="10"/>
        <v>0</v>
      </c>
      <c r="R32" s="53">
        <f t="shared" si="10"/>
        <v>0</v>
      </c>
      <c r="S32" s="53">
        <f t="shared" si="10"/>
        <v>0</v>
      </c>
      <c r="T32" s="53">
        <f t="shared" si="10"/>
        <v>0</v>
      </c>
      <c r="U32" s="53">
        <f t="shared" si="10"/>
        <v>0</v>
      </c>
      <c r="V32" s="53">
        <f t="shared" si="10"/>
        <v>0</v>
      </c>
      <c r="W32" s="53">
        <f t="shared" si="10"/>
        <v>0</v>
      </c>
      <c r="X32" s="53">
        <f t="shared" si="10"/>
        <v>0</v>
      </c>
      <c r="Y32" s="53">
        <f t="shared" si="10"/>
        <v>0</v>
      </c>
      <c r="Z32" s="53">
        <f t="shared" si="10"/>
        <v>0</v>
      </c>
      <c r="AA32" s="53">
        <f t="shared" si="10"/>
        <v>0</v>
      </c>
      <c r="AB32" s="53">
        <f t="shared" si="10"/>
        <v>0</v>
      </c>
      <c r="AC32" s="53">
        <f t="shared" si="10"/>
        <v>0</v>
      </c>
      <c r="AD32" s="53">
        <f t="shared" si="10"/>
        <v>0</v>
      </c>
      <c r="AE32" s="53">
        <f t="shared" si="10"/>
        <v>0</v>
      </c>
      <c r="AF32" s="53">
        <f t="shared" si="10"/>
        <v>0</v>
      </c>
      <c r="AG32" s="53">
        <f t="shared" si="10"/>
        <v>0</v>
      </c>
      <c r="AH32" s="53">
        <f t="shared" si="10"/>
        <v>0</v>
      </c>
      <c r="AI32" s="53">
        <f t="shared" si="10"/>
        <v>0</v>
      </c>
      <c r="AJ32" s="53">
        <f t="shared" si="10"/>
        <v>0</v>
      </c>
      <c r="AK32" s="53">
        <f t="shared" si="10"/>
        <v>0</v>
      </c>
    </row>
    <row r="33" spans="1:37">
      <c r="A33" s="47" t="s">
        <v>115</v>
      </c>
      <c r="B33" s="321">
        <v>0</v>
      </c>
      <c r="C33" s="321">
        <v>0</v>
      </c>
      <c r="D33" s="321">
        <v>0</v>
      </c>
      <c r="E33" s="321">
        <v>0</v>
      </c>
      <c r="F33" s="321">
        <v>0</v>
      </c>
      <c r="G33" s="319">
        <f>(283400000-G25)/1000000</f>
        <v>283.39987766597005</v>
      </c>
      <c r="H33" s="36">
        <f t="shared" si="9"/>
        <v>283.39987766597005</v>
      </c>
      <c r="I33" s="35"/>
      <c r="J33" s="35" t="str">
        <f>+J25</f>
        <v>Va a entregar local Sabaneta</v>
      </c>
      <c r="K33" s="35">
        <v>2022</v>
      </c>
      <c r="L33" s="35">
        <f>+H33-L25</f>
        <v>161.06584766597007</v>
      </c>
      <c r="M33" s="35">
        <f>283-L25</f>
        <v>160.66597000000002</v>
      </c>
      <c r="Q33" s="53">
        <f t="shared" si="10"/>
        <v>0</v>
      </c>
      <c r="R33" s="53">
        <f t="shared" si="10"/>
        <v>0</v>
      </c>
      <c r="S33" s="53">
        <f t="shared" si="10"/>
        <v>0</v>
      </c>
      <c r="T33" s="53">
        <f t="shared" si="10"/>
        <v>160.66597000000002</v>
      </c>
      <c r="U33" s="53">
        <f t="shared" si="10"/>
        <v>0</v>
      </c>
      <c r="V33" s="53">
        <f t="shared" si="10"/>
        <v>0</v>
      </c>
      <c r="W33" s="53">
        <f t="shared" si="10"/>
        <v>0</v>
      </c>
      <c r="X33" s="53">
        <f t="shared" si="10"/>
        <v>0</v>
      </c>
      <c r="Y33" s="53">
        <f t="shared" si="10"/>
        <v>0</v>
      </c>
      <c r="Z33" s="53">
        <f t="shared" si="10"/>
        <v>0</v>
      </c>
      <c r="AA33" s="53">
        <f t="shared" si="10"/>
        <v>0</v>
      </c>
      <c r="AB33" s="53">
        <f t="shared" si="10"/>
        <v>0</v>
      </c>
      <c r="AC33" s="53">
        <f t="shared" si="10"/>
        <v>0</v>
      </c>
      <c r="AD33" s="53">
        <f t="shared" si="10"/>
        <v>0</v>
      </c>
      <c r="AE33" s="53">
        <f t="shared" si="10"/>
        <v>0</v>
      </c>
      <c r="AF33" s="53">
        <f t="shared" si="10"/>
        <v>0</v>
      </c>
      <c r="AG33" s="53">
        <f t="shared" si="10"/>
        <v>0</v>
      </c>
      <c r="AH33" s="53">
        <f t="shared" si="10"/>
        <v>0</v>
      </c>
      <c r="AI33" s="53">
        <f t="shared" si="10"/>
        <v>0</v>
      </c>
      <c r="AJ33" s="53">
        <f t="shared" si="10"/>
        <v>0</v>
      </c>
      <c r="AK33" s="53">
        <f t="shared" si="10"/>
        <v>0</v>
      </c>
    </row>
    <row r="34" spans="1:37">
      <c r="A34" s="47" t="s">
        <v>116</v>
      </c>
      <c r="B34" s="321">
        <v>0</v>
      </c>
      <c r="C34" s="321">
        <v>0</v>
      </c>
      <c r="D34" s="321">
        <v>0</v>
      </c>
      <c r="E34" s="321">
        <v>0</v>
      </c>
      <c r="F34" s="321">
        <v>0</v>
      </c>
      <c r="G34" s="319">
        <v>4000</v>
      </c>
      <c r="H34" s="36">
        <f t="shared" si="9"/>
        <v>4000</v>
      </c>
      <c r="I34" s="35"/>
      <c r="J34" s="35" t="s">
        <v>117</v>
      </c>
      <c r="K34" s="35">
        <v>2020</v>
      </c>
      <c r="L34" s="35"/>
      <c r="M34" s="35">
        <f>+H34</f>
        <v>4000</v>
      </c>
      <c r="N34" s="52"/>
      <c r="Q34" s="53">
        <v>2000</v>
      </c>
      <c r="R34" s="53">
        <v>2000</v>
      </c>
      <c r="S34" s="53"/>
      <c r="T34" s="53">
        <f t="shared" si="10"/>
        <v>0</v>
      </c>
      <c r="U34" s="53">
        <f t="shared" si="10"/>
        <v>0</v>
      </c>
      <c r="V34" s="53">
        <f t="shared" si="10"/>
        <v>0</v>
      </c>
      <c r="W34" s="53">
        <f t="shared" si="10"/>
        <v>0</v>
      </c>
      <c r="X34" s="53">
        <f t="shared" si="10"/>
        <v>0</v>
      </c>
      <c r="Y34" s="53">
        <f t="shared" si="10"/>
        <v>0</v>
      </c>
      <c r="Z34" s="53">
        <f t="shared" si="10"/>
        <v>0</v>
      </c>
      <c r="AA34" s="53">
        <f t="shared" si="10"/>
        <v>0</v>
      </c>
      <c r="AB34" s="53">
        <f t="shared" si="10"/>
        <v>0</v>
      </c>
      <c r="AC34" s="53">
        <f t="shared" si="10"/>
        <v>0</v>
      </c>
      <c r="AD34" s="53">
        <f t="shared" si="10"/>
        <v>0</v>
      </c>
      <c r="AE34" s="53">
        <f t="shared" si="10"/>
        <v>0</v>
      </c>
      <c r="AF34" s="53">
        <f t="shared" si="10"/>
        <v>0</v>
      </c>
      <c r="AG34" s="53">
        <f t="shared" si="10"/>
        <v>0</v>
      </c>
      <c r="AH34" s="53">
        <f t="shared" si="10"/>
        <v>0</v>
      </c>
      <c r="AI34" s="53">
        <f t="shared" si="10"/>
        <v>0</v>
      </c>
      <c r="AJ34" s="53">
        <f t="shared" si="10"/>
        <v>0</v>
      </c>
      <c r="AK34" s="53">
        <f t="shared" si="10"/>
        <v>0</v>
      </c>
    </row>
    <row r="35" spans="1:37">
      <c r="A35" s="47" t="s">
        <v>118</v>
      </c>
      <c r="B35" s="321">
        <v>0</v>
      </c>
      <c r="C35" s="321">
        <v>270</v>
      </c>
      <c r="D35" s="321">
        <v>0</v>
      </c>
      <c r="E35" s="321">
        <v>0</v>
      </c>
      <c r="F35" s="321">
        <v>0</v>
      </c>
      <c r="G35" s="319">
        <v>0</v>
      </c>
      <c r="H35" s="36">
        <f t="shared" si="9"/>
        <v>270</v>
      </c>
      <c r="I35" s="35"/>
      <c r="J35" s="35" t="s">
        <v>107</v>
      </c>
      <c r="K35" s="35">
        <v>2019</v>
      </c>
      <c r="L35" s="35"/>
      <c r="M35" s="35">
        <f>+H35</f>
        <v>270</v>
      </c>
      <c r="Q35" s="53">
        <f t="shared" si="10"/>
        <v>270</v>
      </c>
      <c r="R35" s="53">
        <f t="shared" si="10"/>
        <v>0</v>
      </c>
      <c r="S35" s="53">
        <f t="shared" si="10"/>
        <v>0</v>
      </c>
      <c r="T35" s="53">
        <f t="shared" si="10"/>
        <v>0</v>
      </c>
      <c r="U35" s="53">
        <f t="shared" si="10"/>
        <v>0</v>
      </c>
      <c r="V35" s="53">
        <f t="shared" si="10"/>
        <v>0</v>
      </c>
      <c r="W35" s="53">
        <f t="shared" si="10"/>
        <v>0</v>
      </c>
      <c r="X35" s="53">
        <f t="shared" si="10"/>
        <v>0</v>
      </c>
      <c r="Y35" s="53">
        <f t="shared" si="10"/>
        <v>0</v>
      </c>
      <c r="Z35" s="53">
        <f t="shared" si="10"/>
        <v>0</v>
      </c>
      <c r="AA35" s="53">
        <f t="shared" si="10"/>
        <v>0</v>
      </c>
      <c r="AB35" s="53">
        <f t="shared" si="10"/>
        <v>0</v>
      </c>
      <c r="AC35" s="53">
        <f t="shared" si="10"/>
        <v>0</v>
      </c>
      <c r="AD35" s="53">
        <f t="shared" si="10"/>
        <v>0</v>
      </c>
      <c r="AE35" s="53">
        <f t="shared" si="10"/>
        <v>0</v>
      </c>
      <c r="AF35" s="53">
        <f t="shared" si="10"/>
        <v>0</v>
      </c>
      <c r="AG35" s="53">
        <f t="shared" si="10"/>
        <v>0</v>
      </c>
      <c r="AH35" s="53">
        <f t="shared" si="10"/>
        <v>0</v>
      </c>
      <c r="AI35" s="53">
        <f t="shared" si="10"/>
        <v>0</v>
      </c>
      <c r="AJ35" s="53">
        <f t="shared" si="10"/>
        <v>0</v>
      </c>
      <c r="AK35" s="53">
        <f t="shared" si="10"/>
        <v>0</v>
      </c>
    </row>
    <row r="36" spans="1:37">
      <c r="A36" s="47" t="s">
        <v>119</v>
      </c>
      <c r="B36" s="319">
        <v>0</v>
      </c>
      <c r="C36" s="321">
        <v>0</v>
      </c>
      <c r="D36" s="321">
        <v>0</v>
      </c>
      <c r="E36" s="321">
        <v>0</v>
      </c>
      <c r="F36" s="321">
        <v>0</v>
      </c>
      <c r="G36" s="319">
        <v>1600</v>
      </c>
      <c r="H36" s="36">
        <f t="shared" si="9"/>
        <v>1600</v>
      </c>
      <c r="I36" s="35"/>
      <c r="J36" s="35" t="s">
        <v>120</v>
      </c>
      <c r="K36" s="35"/>
      <c r="L36" s="35"/>
      <c r="M36" s="35"/>
      <c r="Q36" s="53">
        <f t="shared" si="10"/>
        <v>0</v>
      </c>
      <c r="R36" s="53">
        <f t="shared" si="10"/>
        <v>0</v>
      </c>
      <c r="S36" s="53">
        <f t="shared" si="10"/>
        <v>0</v>
      </c>
      <c r="T36" s="53">
        <f t="shared" si="10"/>
        <v>0</v>
      </c>
      <c r="U36" s="53">
        <f t="shared" si="10"/>
        <v>0</v>
      </c>
      <c r="V36" s="53">
        <f t="shared" si="10"/>
        <v>0</v>
      </c>
      <c r="W36" s="53">
        <f t="shared" si="10"/>
        <v>0</v>
      </c>
      <c r="X36" s="53">
        <f t="shared" si="10"/>
        <v>0</v>
      </c>
      <c r="Y36" s="53">
        <f t="shared" si="10"/>
        <v>0</v>
      </c>
      <c r="Z36" s="53">
        <f t="shared" si="10"/>
        <v>0</v>
      </c>
      <c r="AA36" s="53">
        <f t="shared" si="10"/>
        <v>0</v>
      </c>
      <c r="AB36" s="53">
        <f t="shared" si="10"/>
        <v>0</v>
      </c>
      <c r="AC36" s="53">
        <f t="shared" si="10"/>
        <v>0</v>
      </c>
      <c r="AD36" s="53">
        <f t="shared" si="10"/>
        <v>0</v>
      </c>
      <c r="AE36" s="53">
        <f t="shared" si="10"/>
        <v>0</v>
      </c>
      <c r="AF36" s="53">
        <f t="shared" si="10"/>
        <v>0</v>
      </c>
      <c r="AG36" s="53">
        <f t="shared" si="10"/>
        <v>0</v>
      </c>
      <c r="AH36" s="53">
        <f t="shared" si="10"/>
        <v>0</v>
      </c>
      <c r="AI36" s="53">
        <f t="shared" si="10"/>
        <v>0</v>
      </c>
      <c r="AJ36" s="53">
        <f t="shared" si="10"/>
        <v>0</v>
      </c>
      <c r="AK36" s="53">
        <f t="shared" si="10"/>
        <v>0</v>
      </c>
    </row>
    <row r="37" spans="1:37">
      <c r="A37" s="47" t="s">
        <v>121</v>
      </c>
      <c r="B37" s="319">
        <v>70</v>
      </c>
      <c r="C37" s="321">
        <v>0</v>
      </c>
      <c r="D37" s="321">
        <v>0</v>
      </c>
      <c r="E37" s="321">
        <v>0</v>
      </c>
      <c r="F37" s="321">
        <v>0</v>
      </c>
      <c r="G37" s="321">
        <v>0</v>
      </c>
      <c r="H37" s="36">
        <f t="shared" si="9"/>
        <v>70</v>
      </c>
      <c r="I37" s="35"/>
      <c r="J37" s="35" t="s">
        <v>122</v>
      </c>
      <c r="K37" s="35">
        <v>2019</v>
      </c>
      <c r="L37" s="35">
        <f>+H37</f>
        <v>70</v>
      </c>
      <c r="M37" s="35">
        <f>+L37</f>
        <v>70</v>
      </c>
      <c r="Q37" s="53">
        <f t="shared" si="10"/>
        <v>70</v>
      </c>
      <c r="R37" s="53">
        <f t="shared" si="10"/>
        <v>0</v>
      </c>
      <c r="S37" s="53">
        <f t="shared" si="10"/>
        <v>0</v>
      </c>
      <c r="T37" s="53">
        <f t="shared" si="10"/>
        <v>0</v>
      </c>
      <c r="U37" s="53">
        <f t="shared" si="10"/>
        <v>0</v>
      </c>
      <c r="V37" s="53">
        <f t="shared" si="10"/>
        <v>0</v>
      </c>
      <c r="W37" s="53">
        <f t="shared" si="10"/>
        <v>0</v>
      </c>
      <c r="X37" s="53">
        <f t="shared" si="10"/>
        <v>0</v>
      </c>
      <c r="Y37" s="53">
        <f t="shared" si="10"/>
        <v>0</v>
      </c>
      <c r="Z37" s="53">
        <f t="shared" si="10"/>
        <v>0</v>
      </c>
      <c r="AA37" s="53">
        <f t="shared" si="10"/>
        <v>0</v>
      </c>
      <c r="AB37" s="53">
        <f t="shared" si="10"/>
        <v>0</v>
      </c>
      <c r="AC37" s="53">
        <f t="shared" si="10"/>
        <v>0</v>
      </c>
      <c r="AD37" s="53">
        <f t="shared" si="10"/>
        <v>0</v>
      </c>
      <c r="AE37" s="53">
        <f t="shared" si="10"/>
        <v>0</v>
      </c>
      <c r="AF37" s="53">
        <f t="shared" si="10"/>
        <v>0</v>
      </c>
      <c r="AG37" s="53">
        <f t="shared" si="10"/>
        <v>0</v>
      </c>
      <c r="AH37" s="53">
        <f t="shared" si="10"/>
        <v>0</v>
      </c>
      <c r="AI37" s="53">
        <f t="shared" si="10"/>
        <v>0</v>
      </c>
      <c r="AJ37" s="53">
        <f t="shared" si="10"/>
        <v>0</v>
      </c>
      <c r="AK37" s="53">
        <f t="shared" si="10"/>
        <v>0</v>
      </c>
    </row>
    <row r="38" spans="1:37">
      <c r="A38" s="48" t="s">
        <v>123</v>
      </c>
      <c r="B38" s="321">
        <v>0</v>
      </c>
      <c r="C38" s="321">
        <v>0</v>
      </c>
      <c r="D38" s="321">
        <v>0</v>
      </c>
      <c r="E38" s="321">
        <v>0</v>
      </c>
      <c r="F38" s="321">
        <v>0</v>
      </c>
      <c r="G38" s="321">
        <v>559.35480199999995</v>
      </c>
      <c r="H38" s="36">
        <f t="shared" si="9"/>
        <v>559.35480199999995</v>
      </c>
      <c r="I38" s="35"/>
      <c r="J38" s="35" t="str">
        <f>+J24</f>
        <v>Pendiente negociar</v>
      </c>
      <c r="K38" s="35"/>
      <c r="L38" s="35"/>
      <c r="M38" s="35"/>
      <c r="Q38" s="53">
        <f t="shared" si="10"/>
        <v>0</v>
      </c>
      <c r="R38" s="53">
        <f t="shared" si="10"/>
        <v>0</v>
      </c>
      <c r="S38" s="53">
        <f t="shared" si="10"/>
        <v>0</v>
      </c>
      <c r="T38" s="53">
        <f t="shared" si="10"/>
        <v>0</v>
      </c>
      <c r="U38" s="53">
        <f t="shared" si="10"/>
        <v>0</v>
      </c>
      <c r="V38" s="53">
        <f t="shared" si="10"/>
        <v>0</v>
      </c>
      <c r="W38" s="53">
        <f t="shared" si="10"/>
        <v>0</v>
      </c>
      <c r="X38" s="53">
        <f t="shared" si="10"/>
        <v>0</v>
      </c>
      <c r="Y38" s="53">
        <f t="shared" si="10"/>
        <v>0</v>
      </c>
      <c r="Z38" s="53">
        <f t="shared" si="10"/>
        <v>0</v>
      </c>
      <c r="AA38" s="53">
        <f t="shared" si="10"/>
        <v>0</v>
      </c>
      <c r="AB38" s="53">
        <f t="shared" si="10"/>
        <v>0</v>
      </c>
      <c r="AC38" s="53">
        <f t="shared" si="10"/>
        <v>0</v>
      </c>
      <c r="AD38" s="53">
        <f t="shared" si="10"/>
        <v>0</v>
      </c>
      <c r="AE38" s="53">
        <f t="shared" si="10"/>
        <v>0</v>
      </c>
      <c r="AF38" s="53">
        <f t="shared" si="10"/>
        <v>0</v>
      </c>
      <c r="AG38" s="53">
        <f t="shared" si="10"/>
        <v>0</v>
      </c>
      <c r="AH38" s="53">
        <f t="shared" si="10"/>
        <v>0</v>
      </c>
      <c r="AI38" s="53">
        <f t="shared" si="10"/>
        <v>0</v>
      </c>
      <c r="AJ38" s="53">
        <f t="shared" si="10"/>
        <v>0</v>
      </c>
      <c r="AK38" s="53">
        <f t="shared" si="10"/>
        <v>0</v>
      </c>
    </row>
    <row r="39" spans="1:37">
      <c r="A39" s="47" t="s">
        <v>128</v>
      </c>
      <c r="B39" s="319">
        <v>0</v>
      </c>
      <c r="C39" s="321">
        <v>0</v>
      </c>
      <c r="D39" s="321">
        <v>0</v>
      </c>
      <c r="E39" s="321">
        <v>642.44771900000001</v>
      </c>
      <c r="F39" s="321">
        <v>0</v>
      </c>
      <c r="G39" s="321">
        <v>0</v>
      </c>
      <c r="H39" s="36">
        <f>+SUM(B39:G39)</f>
        <v>642.44771900000001</v>
      </c>
      <c r="I39" s="35"/>
      <c r="J39" s="35" t="s">
        <v>124</v>
      </c>
      <c r="K39" s="35"/>
      <c r="L39" s="35">
        <v>0</v>
      </c>
      <c r="M39" s="35">
        <v>0</v>
      </c>
      <c r="Q39" s="53">
        <f t="shared" si="10"/>
        <v>0</v>
      </c>
      <c r="R39" s="53">
        <f t="shared" si="10"/>
        <v>0</v>
      </c>
      <c r="S39" s="53">
        <f t="shared" si="10"/>
        <v>0</v>
      </c>
      <c r="T39" s="53">
        <f t="shared" si="10"/>
        <v>0</v>
      </c>
      <c r="U39" s="53">
        <f t="shared" si="10"/>
        <v>0</v>
      </c>
      <c r="V39" s="53">
        <f t="shared" si="10"/>
        <v>0</v>
      </c>
      <c r="W39" s="53">
        <f t="shared" si="10"/>
        <v>0</v>
      </c>
      <c r="X39" s="53">
        <f t="shared" si="10"/>
        <v>0</v>
      </c>
      <c r="Y39" s="53">
        <f t="shared" si="10"/>
        <v>0</v>
      </c>
      <c r="Z39" s="53">
        <f t="shared" si="10"/>
        <v>0</v>
      </c>
      <c r="AA39" s="53">
        <f t="shared" si="10"/>
        <v>0</v>
      </c>
      <c r="AB39" s="53">
        <f t="shared" si="10"/>
        <v>0</v>
      </c>
      <c r="AC39" s="53">
        <f t="shared" si="10"/>
        <v>0</v>
      </c>
      <c r="AD39" s="53">
        <f t="shared" si="10"/>
        <v>0</v>
      </c>
      <c r="AE39" s="53">
        <f t="shared" si="10"/>
        <v>0</v>
      </c>
      <c r="AF39" s="53">
        <f t="shared" si="10"/>
        <v>0</v>
      </c>
      <c r="AG39" s="53">
        <f t="shared" si="10"/>
        <v>0</v>
      </c>
      <c r="AH39" s="53">
        <f t="shared" si="10"/>
        <v>0</v>
      </c>
      <c r="AI39" s="53">
        <f t="shared" si="10"/>
        <v>0</v>
      </c>
      <c r="AJ39" s="53">
        <f t="shared" si="10"/>
        <v>0</v>
      </c>
      <c r="AK39" s="53">
        <f t="shared" si="10"/>
        <v>0</v>
      </c>
    </row>
    <row r="40" spans="1:37">
      <c r="A40" s="47" t="s">
        <v>125</v>
      </c>
      <c r="B40" s="319">
        <v>100</v>
      </c>
      <c r="C40" s="321">
        <v>0</v>
      </c>
      <c r="D40" s="321">
        <v>0</v>
      </c>
      <c r="E40" s="321">
        <v>0</v>
      </c>
      <c r="F40" s="321">
        <v>0</v>
      </c>
      <c r="G40" s="321">
        <v>0</v>
      </c>
      <c r="H40" s="36">
        <f>+SUM(B40:G40)</f>
        <v>100</v>
      </c>
      <c r="I40" s="35"/>
      <c r="J40" s="35" t="s">
        <v>124</v>
      </c>
      <c r="K40" s="35"/>
      <c r="L40" s="35">
        <v>0</v>
      </c>
      <c r="M40" s="35">
        <v>0</v>
      </c>
      <c r="Q40" s="53">
        <f t="shared" si="10"/>
        <v>0</v>
      </c>
      <c r="R40" s="53">
        <f t="shared" si="10"/>
        <v>0</v>
      </c>
      <c r="S40" s="53">
        <f t="shared" si="10"/>
        <v>0</v>
      </c>
      <c r="T40" s="53">
        <f t="shared" si="10"/>
        <v>0</v>
      </c>
      <c r="U40" s="53">
        <f t="shared" si="10"/>
        <v>0</v>
      </c>
      <c r="V40" s="53">
        <f t="shared" si="10"/>
        <v>0</v>
      </c>
      <c r="W40" s="53">
        <f t="shared" si="10"/>
        <v>0</v>
      </c>
      <c r="X40" s="53">
        <f t="shared" si="10"/>
        <v>0</v>
      </c>
      <c r="Y40" s="53">
        <f t="shared" si="10"/>
        <v>0</v>
      </c>
      <c r="Z40" s="53">
        <f t="shared" si="10"/>
        <v>0</v>
      </c>
      <c r="AA40" s="53">
        <f t="shared" si="10"/>
        <v>0</v>
      </c>
      <c r="AB40" s="53">
        <f t="shared" si="10"/>
        <v>0</v>
      </c>
      <c r="AC40" s="53">
        <f t="shared" si="10"/>
        <v>0</v>
      </c>
      <c r="AD40" s="53">
        <f t="shared" si="10"/>
        <v>0</v>
      </c>
      <c r="AE40" s="53">
        <f t="shared" si="10"/>
        <v>0</v>
      </c>
      <c r="AF40" s="53">
        <f t="shared" si="10"/>
        <v>0</v>
      </c>
      <c r="AG40" s="53">
        <f t="shared" si="10"/>
        <v>0</v>
      </c>
      <c r="AH40" s="53">
        <f t="shared" si="10"/>
        <v>0</v>
      </c>
      <c r="AI40" s="53">
        <f t="shared" si="10"/>
        <v>0</v>
      </c>
      <c r="AJ40" s="53">
        <f t="shared" si="10"/>
        <v>0</v>
      </c>
      <c r="AK40" s="53">
        <f t="shared" si="10"/>
        <v>0</v>
      </c>
    </row>
    <row r="41" spans="1:37">
      <c r="A41" s="35"/>
      <c r="B41" s="36">
        <f>SUM(B31:B40)</f>
        <v>27170</v>
      </c>
      <c r="C41" s="36">
        <f>SUM(C31:C37)</f>
        <v>270</v>
      </c>
      <c r="D41" s="36">
        <f>SUM(D31:D37)</f>
        <v>0</v>
      </c>
      <c r="E41" s="36">
        <f>SUM(E31:E37)</f>
        <v>0</v>
      </c>
      <c r="F41" s="36">
        <f>SUM(F31:F37)</f>
        <v>0</v>
      </c>
      <c r="G41" s="36">
        <f>SUM(G31:G37)</f>
        <v>5883.3998776659701</v>
      </c>
      <c r="H41" s="36">
        <f>SUM(H31:H40)</f>
        <v>34525.202398665977</v>
      </c>
      <c r="I41" s="36">
        <f>SUM(I31:I40)</f>
        <v>0</v>
      </c>
      <c r="J41" s="35"/>
      <c r="K41" s="35"/>
      <c r="L41" s="36">
        <f>SUM(L31:L40)</f>
        <v>231.06584766597007</v>
      </c>
      <c r="M41" s="36">
        <f>SUM(M31:M40)</f>
        <v>5500.66597</v>
      </c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</row>
    <row r="42" spans="1:37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</row>
    <row r="43" spans="1:37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</row>
    <row r="44" spans="1:37" ht="21">
      <c r="A44" s="49" t="s">
        <v>126</v>
      </c>
      <c r="B44" s="49"/>
      <c r="C44" s="49"/>
      <c r="D44" s="49"/>
      <c r="E44" s="49"/>
      <c r="F44" s="49"/>
      <c r="G44" s="49"/>
      <c r="H44" s="49">
        <f>+H41+H26+H16</f>
        <v>55197.142009675976</v>
      </c>
      <c r="I44" s="49">
        <f>+I41+I26+I16</f>
        <v>6475.0307700000003</v>
      </c>
      <c r="J44" s="49"/>
      <c r="K44" s="49"/>
      <c r="L44" s="49">
        <f>+L41+L26+L16</f>
        <v>-4565.9133113340304</v>
      </c>
      <c r="M44" s="49">
        <f>+M41+M26+M16</f>
        <v>14093.442781009999</v>
      </c>
      <c r="Q44" s="53">
        <f>+SUBTOTAL(9,Q6:Q41)</f>
        <v>3846.9362500100001</v>
      </c>
      <c r="R44" s="53">
        <f t="shared" ref="R44:AK44" si="11">+SUBTOTAL(9,R6:R41)</f>
        <v>2825.0695449999998</v>
      </c>
      <c r="S44" s="53">
        <f t="shared" si="11"/>
        <v>260.77101600000003</v>
      </c>
      <c r="T44" s="53">
        <f t="shared" si="11"/>
        <v>7160.66597</v>
      </c>
      <c r="U44" s="53">
        <f t="shared" si="11"/>
        <v>0</v>
      </c>
      <c r="V44" s="53">
        <f t="shared" si="11"/>
        <v>0</v>
      </c>
      <c r="W44" s="53">
        <f t="shared" si="11"/>
        <v>0</v>
      </c>
      <c r="X44" s="53">
        <f t="shared" si="11"/>
        <v>0</v>
      </c>
      <c r="Y44" s="53">
        <f t="shared" si="11"/>
        <v>0</v>
      </c>
      <c r="Z44" s="53">
        <f t="shared" si="11"/>
        <v>0</v>
      </c>
      <c r="AA44" s="53">
        <f t="shared" si="11"/>
        <v>0</v>
      </c>
      <c r="AB44" s="53">
        <f t="shared" si="11"/>
        <v>0</v>
      </c>
      <c r="AC44" s="53">
        <f t="shared" si="11"/>
        <v>0</v>
      </c>
      <c r="AD44" s="53">
        <f t="shared" si="11"/>
        <v>0</v>
      </c>
      <c r="AE44" s="53">
        <f t="shared" si="11"/>
        <v>0</v>
      </c>
      <c r="AF44" s="53">
        <f t="shared" si="11"/>
        <v>0</v>
      </c>
      <c r="AG44" s="53">
        <f t="shared" si="11"/>
        <v>0</v>
      </c>
      <c r="AH44" s="53">
        <f t="shared" si="11"/>
        <v>0</v>
      </c>
      <c r="AI44" s="53">
        <f t="shared" si="11"/>
        <v>0</v>
      </c>
      <c r="AJ44" s="53">
        <f t="shared" si="11"/>
        <v>0</v>
      </c>
      <c r="AK44" s="53">
        <f t="shared" si="11"/>
        <v>0</v>
      </c>
    </row>
  </sheetData>
  <mergeCells count="3">
    <mergeCell ref="A4:L4"/>
    <mergeCell ref="A19:L19"/>
    <mergeCell ref="A29:L2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A59"/>
  <sheetViews>
    <sheetView topLeftCell="A2" zoomScale="125" zoomScaleNormal="125" zoomScalePageLayoutView="125" workbookViewId="0">
      <pane xSplit="4" ySplit="3" topLeftCell="E13" activePane="bottomRight" state="frozen"/>
      <selection activeCell="C38" sqref="C38:C40"/>
      <selection pane="topRight" activeCell="C38" sqref="C38:C40"/>
      <selection pane="bottomLeft" activeCell="C38" sqref="C38:C40"/>
      <selection pane="bottomRight" activeCell="G7" sqref="G7"/>
    </sheetView>
  </sheetViews>
  <sheetFormatPr baseColWidth="10" defaultRowHeight="16" outlineLevelRow="1"/>
  <cols>
    <col min="2" max="4" width="11" customWidth="1"/>
    <col min="5" max="6" width="5.1640625" bestFit="1" customWidth="1"/>
    <col min="7" max="7" width="7.83203125" bestFit="1" customWidth="1"/>
    <col min="8" max="9" width="12.5" bestFit="1" customWidth="1"/>
  </cols>
  <sheetData>
    <row r="3" spans="2:27" ht="17" thickBot="1">
      <c r="H3" s="2">
        <f>+H6+I6</f>
        <v>59695.114638899999</v>
      </c>
      <c r="I3" s="2">
        <f>+H3*0.8</f>
        <v>47756.091711120003</v>
      </c>
    </row>
    <row r="4" spans="2:27" ht="17" thickBot="1">
      <c r="B4" s="326" t="s">
        <v>130</v>
      </c>
      <c r="C4" s="303"/>
      <c r="D4" s="327"/>
      <c r="E4" s="302"/>
      <c r="F4" s="302"/>
      <c r="G4" s="302">
        <v>2019</v>
      </c>
      <c r="H4" s="302">
        <v>2020</v>
      </c>
      <c r="I4" s="302">
        <v>2021</v>
      </c>
      <c r="J4" s="328">
        <v>2022</v>
      </c>
      <c r="K4" s="302">
        <v>2023</v>
      </c>
      <c r="L4" s="302">
        <v>2024</v>
      </c>
      <c r="M4" s="302">
        <v>2025</v>
      </c>
      <c r="N4" s="303">
        <v>2026</v>
      </c>
      <c r="O4">
        <v>2027</v>
      </c>
      <c r="P4">
        <v>2028</v>
      </c>
      <c r="Q4">
        <v>2029</v>
      </c>
      <c r="R4">
        <v>2030</v>
      </c>
      <c r="S4">
        <v>2031</v>
      </c>
      <c r="T4">
        <v>2032</v>
      </c>
      <c r="U4">
        <v>2033</v>
      </c>
      <c r="V4">
        <v>2034</v>
      </c>
      <c r="W4">
        <v>2035</v>
      </c>
      <c r="X4">
        <v>2036</v>
      </c>
      <c r="Y4">
        <v>2037</v>
      </c>
      <c r="Z4">
        <v>2038</v>
      </c>
      <c r="AA4">
        <v>2039</v>
      </c>
    </row>
    <row r="5" spans="2:27" ht="17" thickBot="1">
      <c r="B5" s="326" t="s">
        <v>77</v>
      </c>
      <c r="C5" s="303"/>
      <c r="D5" s="329">
        <f>+SUM(E5:Y5)</f>
        <v>98431.452340439981</v>
      </c>
      <c r="E5" s="302"/>
      <c r="F5" s="302"/>
      <c r="G5" s="330">
        <f t="shared" ref="G5:AA5" si="0">+G6+G15+G21+G28+G35+G42+G49+G54</f>
        <v>0</v>
      </c>
      <c r="H5" s="330">
        <f t="shared" si="0"/>
        <v>40363.349136388497</v>
      </c>
      <c r="I5" s="330">
        <f t="shared" si="0"/>
        <v>34640.707915921499</v>
      </c>
      <c r="J5" s="330">
        <f t="shared" si="0"/>
        <v>0</v>
      </c>
      <c r="K5" s="330">
        <f t="shared" si="0"/>
        <v>14690.065288129997</v>
      </c>
      <c r="L5" s="330">
        <f t="shared" si="0"/>
        <v>2912.4433333333336</v>
      </c>
      <c r="M5" s="330">
        <f t="shared" si="0"/>
        <v>2591.876666666667</v>
      </c>
      <c r="N5" s="331">
        <f t="shared" si="0"/>
        <v>3233.01</v>
      </c>
      <c r="O5" s="2">
        <f t="shared" si="0"/>
        <v>0</v>
      </c>
      <c r="P5" s="2">
        <f t="shared" si="0"/>
        <v>0</v>
      </c>
      <c r="Q5" s="2">
        <f t="shared" si="0"/>
        <v>0</v>
      </c>
      <c r="R5" s="2">
        <f t="shared" si="0"/>
        <v>0</v>
      </c>
      <c r="S5" s="2">
        <f t="shared" si="0"/>
        <v>0</v>
      </c>
      <c r="T5" s="2">
        <f t="shared" si="0"/>
        <v>0</v>
      </c>
      <c r="U5" s="2">
        <f t="shared" si="0"/>
        <v>0</v>
      </c>
      <c r="V5" s="2">
        <f t="shared" si="0"/>
        <v>0</v>
      </c>
      <c r="W5" s="2">
        <f t="shared" si="0"/>
        <v>0</v>
      </c>
      <c r="X5" s="2">
        <f t="shared" si="0"/>
        <v>0</v>
      </c>
      <c r="Y5" s="2">
        <f t="shared" si="0"/>
        <v>0</v>
      </c>
      <c r="Z5" s="2">
        <f t="shared" si="0"/>
        <v>0</v>
      </c>
      <c r="AA5" s="2">
        <f t="shared" si="0"/>
        <v>0</v>
      </c>
    </row>
    <row r="6" spans="2:27">
      <c r="B6" s="336" t="s">
        <v>131</v>
      </c>
      <c r="C6" s="337"/>
      <c r="D6" s="332">
        <f>+SUM(E6:Y6)</f>
        <v>59695.114638899999</v>
      </c>
      <c r="E6" s="295"/>
      <c r="F6" s="295"/>
      <c r="G6" s="333">
        <f>+G7-G9-G10</f>
        <v>0</v>
      </c>
      <c r="H6" s="333">
        <f>+H7-H9-H10</f>
        <v>31361.042799999999</v>
      </c>
      <c r="I6" s="333">
        <f>+I7-I9-I10</f>
        <v>28334.071838899999</v>
      </c>
      <c r="J6" s="333">
        <f>+J7-J9-J10</f>
        <v>0</v>
      </c>
      <c r="K6" s="333">
        <f t="shared" ref="K6:AA6" si="1">+K7-J9-K10</f>
        <v>0</v>
      </c>
      <c r="L6" s="333">
        <f t="shared" si="1"/>
        <v>0</v>
      </c>
      <c r="M6" s="333">
        <f t="shared" si="1"/>
        <v>0</v>
      </c>
      <c r="N6" s="334">
        <f t="shared" si="1"/>
        <v>0</v>
      </c>
      <c r="O6" s="2">
        <f t="shared" si="1"/>
        <v>0</v>
      </c>
      <c r="P6" s="2">
        <f t="shared" si="1"/>
        <v>0</v>
      </c>
      <c r="Q6" s="2">
        <f t="shared" si="1"/>
        <v>0</v>
      </c>
      <c r="R6" s="2">
        <f t="shared" si="1"/>
        <v>0</v>
      </c>
      <c r="S6" s="2">
        <f t="shared" si="1"/>
        <v>0</v>
      </c>
      <c r="T6" s="2">
        <f t="shared" si="1"/>
        <v>0</v>
      </c>
      <c r="U6" s="2">
        <f t="shared" si="1"/>
        <v>0</v>
      </c>
      <c r="V6" s="2">
        <f t="shared" si="1"/>
        <v>0</v>
      </c>
      <c r="W6" s="2">
        <f t="shared" si="1"/>
        <v>0</v>
      </c>
      <c r="X6" s="2">
        <f t="shared" si="1"/>
        <v>0</v>
      </c>
      <c r="Y6" s="2">
        <f t="shared" si="1"/>
        <v>0</v>
      </c>
      <c r="Z6" s="2">
        <f t="shared" si="1"/>
        <v>0</v>
      </c>
      <c r="AA6" s="2">
        <f t="shared" si="1"/>
        <v>0</v>
      </c>
    </row>
    <row r="7" spans="2:27" outlineLevel="1">
      <c r="B7" s="323" t="s">
        <v>132</v>
      </c>
      <c r="C7" s="270"/>
      <c r="D7" s="324">
        <f>+SUM(E7:Y7)</f>
        <v>67765</v>
      </c>
      <c r="E7" s="83"/>
      <c r="F7" s="83"/>
      <c r="G7" s="136"/>
      <c r="H7" s="339">
        <v>32165</v>
      </c>
      <c r="I7" s="339">
        <v>35600</v>
      </c>
      <c r="J7" s="339"/>
      <c r="K7" s="339"/>
      <c r="L7" s="339"/>
      <c r="M7" s="339"/>
      <c r="N7" s="340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outlineLevel="1">
      <c r="B8" s="323" t="s">
        <v>141</v>
      </c>
      <c r="C8" s="270"/>
      <c r="D8" s="309"/>
      <c r="E8" s="83"/>
      <c r="F8" s="83"/>
      <c r="G8" s="136"/>
      <c r="H8" s="339">
        <v>189.39838900000001</v>
      </c>
      <c r="I8" s="339"/>
      <c r="J8" s="339"/>
      <c r="K8" s="339"/>
      <c r="L8" s="339"/>
      <c r="M8" s="339"/>
      <c r="N8" s="34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outlineLevel="1">
      <c r="B9" s="323" t="s">
        <v>133</v>
      </c>
      <c r="C9" s="270"/>
      <c r="D9" s="324">
        <f>+SUM(E9:Y9)</f>
        <v>6757.5601611000011</v>
      </c>
      <c r="E9" s="83"/>
      <c r="F9" s="83"/>
      <c r="G9" s="136">
        <f>+(G7-G8)*0.1</f>
        <v>0</v>
      </c>
      <c r="H9" s="136"/>
      <c r="I9" s="136">
        <f>+((I7+H7)-H8)*0.1</f>
        <v>6757.5601611000011</v>
      </c>
      <c r="J9" s="136">
        <f t="shared" ref="J9:AA9" si="2">+(J7-J8)*0.1</f>
        <v>0</v>
      </c>
      <c r="K9" s="136">
        <f t="shared" si="2"/>
        <v>0</v>
      </c>
      <c r="L9" s="136">
        <f t="shared" si="2"/>
        <v>0</v>
      </c>
      <c r="M9" s="136">
        <f t="shared" si="2"/>
        <v>0</v>
      </c>
      <c r="N9" s="322">
        <f t="shared" si="2"/>
        <v>0</v>
      </c>
      <c r="O9" s="2">
        <f t="shared" si="2"/>
        <v>0</v>
      </c>
      <c r="P9" s="2">
        <f t="shared" si="2"/>
        <v>0</v>
      </c>
      <c r="Q9" s="2">
        <f t="shared" si="2"/>
        <v>0</v>
      </c>
      <c r="R9" s="2">
        <f t="shared" si="2"/>
        <v>0</v>
      </c>
      <c r="S9" s="2">
        <f t="shared" si="2"/>
        <v>0</v>
      </c>
      <c r="T9" s="2">
        <f t="shared" si="2"/>
        <v>0</v>
      </c>
      <c r="U9" s="2">
        <f t="shared" si="2"/>
        <v>0</v>
      </c>
      <c r="V9" s="2">
        <f t="shared" si="2"/>
        <v>0</v>
      </c>
      <c r="W9" s="2">
        <f t="shared" si="2"/>
        <v>0</v>
      </c>
      <c r="X9" s="2">
        <f t="shared" si="2"/>
        <v>0</v>
      </c>
      <c r="Y9" s="2">
        <f t="shared" si="2"/>
        <v>0</v>
      </c>
      <c r="Z9" s="2">
        <f t="shared" si="2"/>
        <v>0</v>
      </c>
      <c r="AA9" s="2">
        <f t="shared" si="2"/>
        <v>0</v>
      </c>
    </row>
    <row r="10" spans="2:27" outlineLevel="1">
      <c r="B10" s="323" t="s">
        <v>134</v>
      </c>
      <c r="C10" s="270"/>
      <c r="D10" s="324">
        <f>+SUM(E10:Y10)</f>
        <v>1312.3252</v>
      </c>
      <c r="E10" s="83"/>
      <c r="F10" s="83"/>
      <c r="G10" s="136"/>
      <c r="H10" s="339">
        <f>44.641+1.2%*1.19*H7+300</f>
        <v>803.95720000000006</v>
      </c>
      <c r="I10" s="339">
        <f>1.2%*1.19*I7</f>
        <v>508.36799999999999</v>
      </c>
      <c r="J10" s="136"/>
      <c r="K10" s="136"/>
      <c r="L10" s="136"/>
      <c r="M10" s="136"/>
      <c r="N10" s="3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outlineLevel="1">
      <c r="B11" s="323" t="s">
        <v>630</v>
      </c>
      <c r="C11" s="270"/>
      <c r="D11" s="324">
        <v>12920.569894390101</v>
      </c>
      <c r="E11" s="83"/>
      <c r="F11" s="83"/>
      <c r="G11" s="136"/>
      <c r="H11" s="339">
        <f>+D11/2</f>
        <v>6460.2849471950503</v>
      </c>
      <c r="I11" s="339">
        <v>7150.3506608236503</v>
      </c>
      <c r="J11" s="136"/>
      <c r="K11" s="136"/>
      <c r="L11" s="136"/>
      <c r="M11" s="136"/>
      <c r="N11" s="3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outlineLevel="1">
      <c r="B12" s="323" t="s">
        <v>631</v>
      </c>
      <c r="C12" s="270"/>
      <c r="D12" s="324">
        <v>51408.855459690603</v>
      </c>
      <c r="E12" s="360" t="s">
        <v>635</v>
      </c>
      <c r="F12" s="83"/>
      <c r="G12" s="136"/>
      <c r="H12" s="339">
        <f>+D12/2</f>
        <v>25704.427729845302</v>
      </c>
      <c r="I12" s="339">
        <v>28450.087749455899</v>
      </c>
      <c r="J12" s="136"/>
      <c r="K12" s="136"/>
      <c r="L12" s="136"/>
      <c r="M12" s="136"/>
      <c r="N12" s="32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outlineLevel="1">
      <c r="B13" s="323" t="s">
        <v>634</v>
      </c>
      <c r="C13" s="270"/>
      <c r="D13" s="359">
        <f>+Proyecciones!B53</f>
        <v>0.9</v>
      </c>
      <c r="E13" s="360" t="s">
        <v>635</v>
      </c>
      <c r="F13" s="83"/>
      <c r="G13" s="136"/>
      <c r="H13" s="339">
        <f>+H12*$D$13</f>
        <v>23133.984956860771</v>
      </c>
      <c r="I13" s="339">
        <f>+I12*$D$13</f>
        <v>25605.07897451031</v>
      </c>
      <c r="J13" s="136"/>
      <c r="K13" s="136"/>
      <c r="L13" s="136"/>
      <c r="M13" s="136"/>
      <c r="N13" s="3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ht="17" outlineLevel="1" thickBot="1">
      <c r="B14" s="335" t="s">
        <v>640</v>
      </c>
      <c r="C14" s="258"/>
      <c r="D14" s="325"/>
      <c r="E14" s="299"/>
      <c r="F14" s="299"/>
      <c r="G14" s="300"/>
      <c r="H14" s="344">
        <f>+H11+H12-H13-H10</f>
        <v>8226.7705201795798</v>
      </c>
      <c r="I14" s="344">
        <f>+I11+I12-I13-I10-I9</f>
        <v>2729.4312746692403</v>
      </c>
      <c r="J14" s="300"/>
      <c r="K14" s="300"/>
      <c r="L14" s="300"/>
      <c r="M14" s="300"/>
      <c r="N14" s="301"/>
      <c r="O14" s="2"/>
      <c r="P14" s="5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>
      <c r="B15" s="338" t="s">
        <v>135</v>
      </c>
      <c r="C15" s="337"/>
      <c r="D15" s="332">
        <f>+SUM(E15:Y15)</f>
        <v>9074.2965136999992</v>
      </c>
      <c r="E15" s="295"/>
      <c r="F15" s="295"/>
      <c r="G15" s="333">
        <f>+G16-G18</f>
        <v>0</v>
      </c>
      <c r="H15" s="333">
        <f>+H16-H18</f>
        <v>2767.6604366785</v>
      </c>
      <c r="I15" s="333">
        <f t="shared" ref="I15:AA15" si="3">+I16-I18</f>
        <v>6306.6360770214997</v>
      </c>
      <c r="J15" s="333">
        <f t="shared" si="3"/>
        <v>0</v>
      </c>
      <c r="K15" s="333">
        <f t="shared" si="3"/>
        <v>0</v>
      </c>
      <c r="L15" s="333">
        <f t="shared" si="3"/>
        <v>0</v>
      </c>
      <c r="M15" s="333">
        <f t="shared" si="3"/>
        <v>0</v>
      </c>
      <c r="N15" s="334">
        <f t="shared" si="3"/>
        <v>0</v>
      </c>
      <c r="O15" s="2">
        <f t="shared" si="3"/>
        <v>0</v>
      </c>
      <c r="P15" s="2">
        <f t="shared" si="3"/>
        <v>0</v>
      </c>
      <c r="Q15" s="2">
        <f t="shared" si="3"/>
        <v>0</v>
      </c>
      <c r="R15" s="2">
        <f t="shared" si="3"/>
        <v>0</v>
      </c>
      <c r="S15" s="2">
        <f t="shared" si="3"/>
        <v>0</v>
      </c>
      <c r="T15" s="2">
        <f t="shared" si="3"/>
        <v>0</v>
      </c>
      <c r="U15" s="2">
        <f t="shared" si="3"/>
        <v>0</v>
      </c>
      <c r="V15" s="2">
        <f t="shared" si="3"/>
        <v>0</v>
      </c>
      <c r="W15" s="2">
        <f t="shared" si="3"/>
        <v>0</v>
      </c>
      <c r="X15" s="2">
        <f t="shared" si="3"/>
        <v>0</v>
      </c>
      <c r="Y15" s="2">
        <f t="shared" si="3"/>
        <v>0</v>
      </c>
      <c r="Z15" s="2">
        <f t="shared" si="3"/>
        <v>0</v>
      </c>
      <c r="AA15" s="2">
        <f t="shared" si="3"/>
        <v>0</v>
      </c>
    </row>
    <row r="16" spans="2:27" outlineLevel="1">
      <c r="B16" s="323" t="s">
        <v>136</v>
      </c>
      <c r="C16" s="270"/>
      <c r="D16" s="324">
        <f>+SUM(E16:Y16)</f>
        <v>10000</v>
      </c>
      <c r="E16" s="83"/>
      <c r="F16" s="83"/>
      <c r="G16" s="136"/>
      <c r="H16" s="339">
        <v>3050</v>
      </c>
      <c r="I16" s="339">
        <v>6950</v>
      </c>
      <c r="J16" s="339"/>
      <c r="K16" s="339"/>
      <c r="L16" s="339"/>
      <c r="M16" s="339"/>
      <c r="N16" s="340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outlineLevel="1">
      <c r="B17" s="323" t="s">
        <v>141</v>
      </c>
      <c r="C17" s="270"/>
      <c r="D17" s="309"/>
      <c r="E17" s="83"/>
      <c r="F17" s="83"/>
      <c r="G17" s="136"/>
      <c r="H17" s="339">
        <f>742.965137*($H$16+$I$16)/($H$16+$I$16+$K$36)*(H16/($H$16+$I$16))</f>
        <v>226.604366785</v>
      </c>
      <c r="I17" s="339">
        <f>742.965137*($H$16+$I$16)/($H$16+$I$16+$K$36)*(I16/($H$16+$I$16))</f>
        <v>516.360770215</v>
      </c>
      <c r="J17" s="339"/>
      <c r="K17" s="339"/>
      <c r="L17" s="339"/>
      <c r="M17" s="339"/>
      <c r="N17" s="340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outlineLevel="1">
      <c r="A18" s="343">
        <v>0.1</v>
      </c>
      <c r="B18" s="323" t="s">
        <v>142</v>
      </c>
      <c r="C18" s="270"/>
      <c r="D18" s="324">
        <f>+SUM(E18:Y18)</f>
        <v>925.70348630000001</v>
      </c>
      <c r="E18" s="83"/>
      <c r="F18" s="83"/>
      <c r="G18" s="136">
        <f t="shared" ref="G18:AA18" si="4">+(G16-G17)*0.1</f>
        <v>0</v>
      </c>
      <c r="H18" s="349">
        <f t="shared" si="4"/>
        <v>282.33956332150001</v>
      </c>
      <c r="I18" s="349">
        <f t="shared" si="4"/>
        <v>643.3639229785</v>
      </c>
      <c r="J18" s="349">
        <f t="shared" si="4"/>
        <v>0</v>
      </c>
      <c r="K18" s="349">
        <f t="shared" si="4"/>
        <v>0</v>
      </c>
      <c r="L18" s="349">
        <f t="shared" si="4"/>
        <v>0</v>
      </c>
      <c r="M18" s="349">
        <f t="shared" si="4"/>
        <v>0</v>
      </c>
      <c r="N18" s="361">
        <f t="shared" si="4"/>
        <v>0</v>
      </c>
      <c r="O18" s="2">
        <f t="shared" si="4"/>
        <v>0</v>
      </c>
      <c r="P18" s="2">
        <f t="shared" si="4"/>
        <v>0</v>
      </c>
      <c r="Q18" s="2">
        <f t="shared" si="4"/>
        <v>0</v>
      </c>
      <c r="R18" s="2">
        <f t="shared" si="4"/>
        <v>0</v>
      </c>
      <c r="S18" s="2">
        <f t="shared" si="4"/>
        <v>0</v>
      </c>
      <c r="T18" s="2">
        <f t="shared" si="4"/>
        <v>0</v>
      </c>
      <c r="U18" s="2">
        <f t="shared" si="4"/>
        <v>0</v>
      </c>
      <c r="V18" s="2">
        <f t="shared" si="4"/>
        <v>0</v>
      </c>
      <c r="W18" s="2">
        <f t="shared" si="4"/>
        <v>0</v>
      </c>
      <c r="X18" s="2">
        <f t="shared" si="4"/>
        <v>0</v>
      </c>
      <c r="Y18" s="2">
        <f t="shared" si="4"/>
        <v>0</v>
      </c>
      <c r="Z18" s="2">
        <f t="shared" si="4"/>
        <v>0</v>
      </c>
      <c r="AA18" s="2">
        <f t="shared" si="4"/>
        <v>0</v>
      </c>
    </row>
    <row r="19" spans="1:27" outlineLevel="1">
      <c r="A19" s="343"/>
      <c r="B19" s="323" t="s">
        <v>632</v>
      </c>
      <c r="C19" s="270"/>
      <c r="D19" s="362">
        <f>+Proyecciones!C53</f>
        <v>9.9999999999999978E-2</v>
      </c>
      <c r="E19" s="83"/>
      <c r="F19" s="83"/>
      <c r="G19" s="136"/>
      <c r="H19" s="349">
        <f>+H16*$D$19</f>
        <v>304.99999999999994</v>
      </c>
      <c r="I19" s="349">
        <f>+I16*$D$19</f>
        <v>694.99999999999989</v>
      </c>
      <c r="J19" s="349"/>
      <c r="K19" s="349"/>
      <c r="L19" s="349"/>
      <c r="M19" s="349"/>
      <c r="N19" s="36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7" outlineLevel="1" thickBot="1">
      <c r="A20" s="343"/>
      <c r="B20" s="335" t="s">
        <v>633</v>
      </c>
      <c r="C20" s="258"/>
      <c r="D20" s="325"/>
      <c r="E20" s="299"/>
      <c r="F20" s="299"/>
      <c r="G20" s="300"/>
      <c r="H20" s="341">
        <f>+H16-H18-H19</f>
        <v>2462.6604366785</v>
      </c>
      <c r="I20" s="341">
        <f>+I16-I18-I19</f>
        <v>5611.6360770214997</v>
      </c>
      <c r="J20" s="341"/>
      <c r="K20" s="341"/>
      <c r="L20" s="341"/>
      <c r="M20" s="341"/>
      <c r="N20" s="34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B21" s="338" t="s">
        <v>1</v>
      </c>
      <c r="C21" s="337"/>
      <c r="D21" s="332">
        <f>+SUM(E21:Y21)</f>
        <v>6234.6458997099999</v>
      </c>
      <c r="E21" s="295"/>
      <c r="F21" s="295"/>
      <c r="G21" s="333">
        <f>+G22-G24-G25</f>
        <v>0</v>
      </c>
      <c r="H21" s="333">
        <f t="shared" ref="H21:AA21" si="5">+H22-H24-H25</f>
        <v>6234.6458997099999</v>
      </c>
      <c r="I21" s="333">
        <f t="shared" si="5"/>
        <v>0</v>
      </c>
      <c r="J21" s="333">
        <f t="shared" si="5"/>
        <v>0</v>
      </c>
      <c r="K21" s="333">
        <f t="shared" si="5"/>
        <v>0</v>
      </c>
      <c r="L21" s="333">
        <f t="shared" si="5"/>
        <v>0</v>
      </c>
      <c r="M21" s="333">
        <f t="shared" si="5"/>
        <v>0</v>
      </c>
      <c r="N21" s="334">
        <f t="shared" si="5"/>
        <v>0</v>
      </c>
      <c r="O21" s="2">
        <f t="shared" si="5"/>
        <v>0</v>
      </c>
      <c r="P21" s="2">
        <f t="shared" si="5"/>
        <v>0</v>
      </c>
      <c r="Q21" s="2">
        <f t="shared" si="5"/>
        <v>0</v>
      </c>
      <c r="R21" s="2">
        <f t="shared" si="5"/>
        <v>0</v>
      </c>
      <c r="S21" s="2">
        <f t="shared" si="5"/>
        <v>0</v>
      </c>
      <c r="T21" s="2">
        <f t="shared" si="5"/>
        <v>0</v>
      </c>
      <c r="U21" s="2">
        <f t="shared" si="5"/>
        <v>0</v>
      </c>
      <c r="V21" s="2">
        <f t="shared" si="5"/>
        <v>0</v>
      </c>
      <c r="W21" s="2">
        <f t="shared" si="5"/>
        <v>0</v>
      </c>
      <c r="X21" s="2">
        <f t="shared" si="5"/>
        <v>0</v>
      </c>
      <c r="Y21" s="2">
        <f t="shared" si="5"/>
        <v>0</v>
      </c>
      <c r="Z21" s="2">
        <f t="shared" si="5"/>
        <v>0</v>
      </c>
      <c r="AA21" s="2">
        <f t="shared" si="5"/>
        <v>0</v>
      </c>
    </row>
    <row r="22" spans="1:27" outlineLevel="1">
      <c r="B22" s="323" t="s">
        <v>132</v>
      </c>
      <c r="C22" s="270"/>
      <c r="D22" s="324">
        <f>+SUM(E22:Y22)</f>
        <v>7000</v>
      </c>
      <c r="E22" s="83"/>
      <c r="F22" s="83"/>
      <c r="G22" s="136"/>
      <c r="H22" s="339">
        <v>7000</v>
      </c>
      <c r="I22" s="339"/>
      <c r="J22" s="339"/>
      <c r="K22" s="339"/>
      <c r="L22" s="339"/>
      <c r="M22" s="339"/>
      <c r="N22" s="34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outlineLevel="1">
      <c r="B23" s="323" t="s">
        <v>141</v>
      </c>
      <c r="C23" s="270"/>
      <c r="D23" s="309"/>
      <c r="E23" s="83"/>
      <c r="F23" s="83"/>
      <c r="G23" s="136"/>
      <c r="H23" s="339">
        <v>5317.1087870000001</v>
      </c>
      <c r="I23" s="339"/>
      <c r="J23" s="339"/>
      <c r="K23" s="339"/>
      <c r="L23" s="339"/>
      <c r="M23" s="339"/>
      <c r="N23" s="340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outlineLevel="1">
      <c r="A24" s="343">
        <v>0.03</v>
      </c>
      <c r="B24" s="323" t="s">
        <v>137</v>
      </c>
      <c r="C24" s="270"/>
      <c r="D24" s="324">
        <f>+SUM(E24:Y24)</f>
        <v>210</v>
      </c>
      <c r="E24" s="83"/>
      <c r="F24" s="83"/>
      <c r="G24" s="136">
        <f t="shared" ref="G24:AA24" si="6">+G22*$A24</f>
        <v>0</v>
      </c>
      <c r="H24" s="136">
        <f t="shared" si="6"/>
        <v>210</v>
      </c>
      <c r="I24" s="136">
        <f t="shared" si="6"/>
        <v>0</v>
      </c>
      <c r="J24" s="136">
        <f t="shared" si="6"/>
        <v>0</v>
      </c>
      <c r="K24" s="136">
        <f t="shared" si="6"/>
        <v>0</v>
      </c>
      <c r="L24" s="136">
        <f t="shared" si="6"/>
        <v>0</v>
      </c>
      <c r="M24" s="136">
        <f t="shared" si="6"/>
        <v>0</v>
      </c>
      <c r="N24" s="322">
        <f t="shared" si="6"/>
        <v>0</v>
      </c>
      <c r="O24" s="2">
        <f t="shared" si="6"/>
        <v>0</v>
      </c>
      <c r="P24" s="2">
        <f t="shared" si="6"/>
        <v>0</v>
      </c>
      <c r="Q24" s="2">
        <f t="shared" si="6"/>
        <v>0</v>
      </c>
      <c r="R24" s="2">
        <f t="shared" si="6"/>
        <v>0</v>
      </c>
      <c r="S24" s="2">
        <f t="shared" si="6"/>
        <v>0</v>
      </c>
      <c r="T24" s="2">
        <f t="shared" si="6"/>
        <v>0</v>
      </c>
      <c r="U24" s="2">
        <f t="shared" si="6"/>
        <v>0</v>
      </c>
      <c r="V24" s="2">
        <f t="shared" si="6"/>
        <v>0</v>
      </c>
      <c r="W24" s="2">
        <f t="shared" si="6"/>
        <v>0</v>
      </c>
      <c r="X24" s="2">
        <f t="shared" si="6"/>
        <v>0</v>
      </c>
      <c r="Y24" s="2">
        <f t="shared" si="6"/>
        <v>0</v>
      </c>
      <c r="Z24" s="2">
        <f t="shared" si="6"/>
        <v>0</v>
      </c>
      <c r="AA24" s="2">
        <f t="shared" si="6"/>
        <v>0</v>
      </c>
    </row>
    <row r="25" spans="1:27" outlineLevel="1">
      <c r="A25" s="343">
        <v>0.33</v>
      </c>
      <c r="B25" s="323" t="s">
        <v>142</v>
      </c>
      <c r="C25" s="270"/>
      <c r="D25" s="324">
        <f>+SUM(E25:Y25)</f>
        <v>555.35410029000002</v>
      </c>
      <c r="E25" s="83"/>
      <c r="F25" s="83"/>
      <c r="G25" s="136">
        <f t="shared" ref="G25:AA25" si="7">+(G22-G23-G24)*$A25</f>
        <v>0</v>
      </c>
      <c r="H25" s="136">
        <f>+(H22-H23)*$A25</f>
        <v>555.35410029000002</v>
      </c>
      <c r="I25" s="136">
        <f>+(I22-I23)*$A25</f>
        <v>0</v>
      </c>
      <c r="J25" s="136">
        <f t="shared" si="7"/>
        <v>0</v>
      </c>
      <c r="K25" s="136">
        <f t="shared" si="7"/>
        <v>0</v>
      </c>
      <c r="L25" s="136">
        <f t="shared" si="7"/>
        <v>0</v>
      </c>
      <c r="M25" s="136">
        <f t="shared" si="7"/>
        <v>0</v>
      </c>
      <c r="N25" s="322">
        <f t="shared" si="7"/>
        <v>0</v>
      </c>
      <c r="O25" s="2">
        <f t="shared" si="7"/>
        <v>0</v>
      </c>
      <c r="P25" s="2">
        <f t="shared" si="7"/>
        <v>0</v>
      </c>
      <c r="Q25" s="2">
        <f t="shared" si="7"/>
        <v>0</v>
      </c>
      <c r="R25" s="2">
        <f t="shared" si="7"/>
        <v>0</v>
      </c>
      <c r="S25" s="2">
        <f t="shared" si="7"/>
        <v>0</v>
      </c>
      <c r="T25" s="2">
        <f t="shared" si="7"/>
        <v>0</v>
      </c>
      <c r="U25" s="2">
        <f t="shared" si="7"/>
        <v>0</v>
      </c>
      <c r="V25" s="2">
        <f t="shared" si="7"/>
        <v>0</v>
      </c>
      <c r="W25" s="2">
        <f t="shared" si="7"/>
        <v>0</v>
      </c>
      <c r="X25" s="2">
        <f t="shared" si="7"/>
        <v>0</v>
      </c>
      <c r="Y25" s="2">
        <f t="shared" si="7"/>
        <v>0</v>
      </c>
      <c r="Z25" s="2">
        <f t="shared" si="7"/>
        <v>0</v>
      </c>
      <c r="AA25" s="2">
        <f t="shared" si="7"/>
        <v>0</v>
      </c>
    </row>
    <row r="26" spans="1:27" outlineLevel="1">
      <c r="A26" s="343"/>
      <c r="B26" s="323" t="s">
        <v>632</v>
      </c>
      <c r="C26" s="270"/>
      <c r="D26" s="363">
        <f>+D19</f>
        <v>9.9999999999999978E-2</v>
      </c>
      <c r="E26" s="83"/>
      <c r="F26" s="83"/>
      <c r="G26" s="136"/>
      <c r="H26" s="136">
        <f>+H22*D26</f>
        <v>699.99999999999989</v>
      </c>
      <c r="I26" s="136"/>
      <c r="J26" s="136"/>
      <c r="K26" s="136"/>
      <c r="L26" s="136"/>
      <c r="M26" s="136"/>
      <c r="N26" s="3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7" outlineLevel="1" thickBot="1">
      <c r="A27" s="343"/>
      <c r="B27" s="335" t="s">
        <v>633</v>
      </c>
      <c r="C27" s="258"/>
      <c r="D27" s="325"/>
      <c r="E27" s="299"/>
      <c r="F27" s="299"/>
      <c r="G27" s="300"/>
      <c r="H27" s="300">
        <f>+H22-H24-H25-H26</f>
        <v>5534.6458997099999</v>
      </c>
      <c r="I27" s="300"/>
      <c r="J27" s="300"/>
      <c r="K27" s="300"/>
      <c r="L27" s="300"/>
      <c r="M27" s="300"/>
      <c r="N27" s="30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B28" s="338" t="s">
        <v>254</v>
      </c>
      <c r="C28" s="337"/>
      <c r="D28" s="332">
        <f>+SUM(E28:Y28)</f>
        <v>2699.1078984999999</v>
      </c>
      <c r="E28" s="295"/>
      <c r="F28" s="295"/>
      <c r="G28" s="333">
        <f t="shared" ref="G28:AA28" si="8">+G29-G31-G32</f>
        <v>0</v>
      </c>
      <c r="H28" s="333">
        <f t="shared" si="8"/>
        <v>0</v>
      </c>
      <c r="I28" s="333">
        <f t="shared" si="8"/>
        <v>0</v>
      </c>
      <c r="J28" s="333">
        <f t="shared" si="8"/>
        <v>0</v>
      </c>
      <c r="K28" s="333">
        <f t="shared" si="8"/>
        <v>2699.1078984999999</v>
      </c>
      <c r="L28" s="333">
        <f t="shared" si="8"/>
        <v>0</v>
      </c>
      <c r="M28" s="333">
        <f t="shared" si="8"/>
        <v>0</v>
      </c>
      <c r="N28" s="334">
        <f t="shared" si="8"/>
        <v>0</v>
      </c>
      <c r="O28" s="2">
        <f t="shared" si="8"/>
        <v>0</v>
      </c>
      <c r="P28" s="2">
        <f t="shared" si="8"/>
        <v>0</v>
      </c>
      <c r="Q28" s="2">
        <f t="shared" si="8"/>
        <v>0</v>
      </c>
      <c r="R28" s="2">
        <f t="shared" si="8"/>
        <v>0</v>
      </c>
      <c r="S28" s="2">
        <f t="shared" si="8"/>
        <v>0</v>
      </c>
      <c r="T28" s="2">
        <f t="shared" si="8"/>
        <v>0</v>
      </c>
      <c r="U28" s="2">
        <f t="shared" si="8"/>
        <v>0</v>
      </c>
      <c r="V28" s="2">
        <f t="shared" si="8"/>
        <v>0</v>
      </c>
      <c r="W28" s="2">
        <f t="shared" si="8"/>
        <v>0</v>
      </c>
      <c r="X28" s="2">
        <f t="shared" si="8"/>
        <v>0</v>
      </c>
      <c r="Y28" s="2">
        <f t="shared" si="8"/>
        <v>0</v>
      </c>
      <c r="Z28" s="2">
        <f t="shared" si="8"/>
        <v>0</v>
      </c>
      <c r="AA28" s="2">
        <f t="shared" si="8"/>
        <v>0</v>
      </c>
    </row>
    <row r="29" spans="1:27" outlineLevel="1">
      <c r="B29" s="323" t="s">
        <v>132</v>
      </c>
      <c r="C29" s="270"/>
      <c r="D29" s="324">
        <f>+SUM(E29:Y29)</f>
        <v>3000</v>
      </c>
      <c r="E29" s="83"/>
      <c r="F29" s="83"/>
      <c r="G29" s="136"/>
      <c r="H29" s="339"/>
      <c r="I29" s="339"/>
      <c r="J29" s="339"/>
      <c r="K29" s="339">
        <v>3000</v>
      </c>
      <c r="L29" s="339"/>
      <c r="M29" s="339"/>
      <c r="N29" s="34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outlineLevel="1">
      <c r="B30" s="323" t="s">
        <v>141</v>
      </c>
      <c r="C30" s="270"/>
      <c r="D30" s="309"/>
      <c r="E30" s="83"/>
      <c r="F30" s="83"/>
      <c r="G30" s="136"/>
      <c r="H30" s="339"/>
      <c r="I30" s="339"/>
      <c r="J30" s="339"/>
      <c r="K30" s="339">
        <v>891.07898499999999</v>
      </c>
      <c r="L30" s="339"/>
      <c r="M30" s="339"/>
      <c r="N30" s="340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outlineLevel="1">
      <c r="A31" s="343">
        <v>0.03</v>
      </c>
      <c r="B31" s="323" t="s">
        <v>137</v>
      </c>
      <c r="C31" s="270"/>
      <c r="D31" s="324">
        <f>+SUM(E31:Y31)</f>
        <v>90</v>
      </c>
      <c r="E31" s="83"/>
      <c r="F31" s="83"/>
      <c r="G31" s="136">
        <f t="shared" ref="G31:AA31" si="9">+G29*$A31</f>
        <v>0</v>
      </c>
      <c r="H31" s="136">
        <f t="shared" si="9"/>
        <v>0</v>
      </c>
      <c r="I31" s="136">
        <f t="shared" si="9"/>
        <v>0</v>
      </c>
      <c r="J31" s="136">
        <f t="shared" si="9"/>
        <v>0</v>
      </c>
      <c r="K31" s="136">
        <f t="shared" si="9"/>
        <v>90</v>
      </c>
      <c r="L31" s="136">
        <f t="shared" si="9"/>
        <v>0</v>
      </c>
      <c r="M31" s="136">
        <f t="shared" si="9"/>
        <v>0</v>
      </c>
      <c r="N31" s="322">
        <f t="shared" si="9"/>
        <v>0</v>
      </c>
      <c r="O31" s="2">
        <f t="shared" si="9"/>
        <v>0</v>
      </c>
      <c r="P31" s="2">
        <f t="shared" si="9"/>
        <v>0</v>
      </c>
      <c r="Q31" s="2">
        <f t="shared" si="9"/>
        <v>0</v>
      </c>
      <c r="R31" s="2">
        <f t="shared" si="9"/>
        <v>0</v>
      </c>
      <c r="S31" s="2">
        <f t="shared" si="9"/>
        <v>0</v>
      </c>
      <c r="T31" s="2">
        <f t="shared" si="9"/>
        <v>0</v>
      </c>
      <c r="U31" s="2">
        <f t="shared" si="9"/>
        <v>0</v>
      </c>
      <c r="V31" s="2">
        <f t="shared" si="9"/>
        <v>0</v>
      </c>
      <c r="W31" s="2">
        <f t="shared" si="9"/>
        <v>0</v>
      </c>
      <c r="X31" s="2">
        <f t="shared" si="9"/>
        <v>0</v>
      </c>
      <c r="Y31" s="2">
        <f t="shared" si="9"/>
        <v>0</v>
      </c>
      <c r="Z31" s="2">
        <f t="shared" si="9"/>
        <v>0</v>
      </c>
      <c r="AA31" s="2">
        <f t="shared" si="9"/>
        <v>0</v>
      </c>
    </row>
    <row r="32" spans="1:27" outlineLevel="1">
      <c r="A32" s="343">
        <v>0.1</v>
      </c>
      <c r="B32" s="323" t="s">
        <v>142</v>
      </c>
      <c r="C32" s="270"/>
      <c r="D32" s="324">
        <f>+SUM(E32:Y32)</f>
        <v>210.8921015</v>
      </c>
      <c r="E32" s="83"/>
      <c r="F32" s="83"/>
      <c r="G32" s="136">
        <f t="shared" ref="G32:AA32" si="10">+(G29-G30-G31)*$A32</f>
        <v>0</v>
      </c>
      <c r="H32" s="136">
        <f t="shared" si="10"/>
        <v>0</v>
      </c>
      <c r="I32" s="136">
        <f t="shared" si="10"/>
        <v>0</v>
      </c>
      <c r="J32" s="136">
        <f t="shared" si="10"/>
        <v>0</v>
      </c>
      <c r="K32" s="136">
        <f>+(K29-K30)*$A32</f>
        <v>210.8921015</v>
      </c>
      <c r="L32" s="136">
        <f t="shared" si="10"/>
        <v>0</v>
      </c>
      <c r="M32" s="136">
        <f t="shared" si="10"/>
        <v>0</v>
      </c>
      <c r="N32" s="322">
        <f t="shared" si="10"/>
        <v>0</v>
      </c>
      <c r="O32" s="2">
        <f t="shared" si="10"/>
        <v>0</v>
      </c>
      <c r="P32" s="2">
        <f t="shared" si="10"/>
        <v>0</v>
      </c>
      <c r="Q32" s="2">
        <f t="shared" si="10"/>
        <v>0</v>
      </c>
      <c r="R32" s="2">
        <f t="shared" si="10"/>
        <v>0</v>
      </c>
      <c r="S32" s="2">
        <f t="shared" si="10"/>
        <v>0</v>
      </c>
      <c r="T32" s="2">
        <f t="shared" si="10"/>
        <v>0</v>
      </c>
      <c r="U32" s="2">
        <f t="shared" si="10"/>
        <v>0</v>
      </c>
      <c r="V32" s="2">
        <f t="shared" si="10"/>
        <v>0</v>
      </c>
      <c r="W32" s="2">
        <f t="shared" si="10"/>
        <v>0</v>
      </c>
      <c r="X32" s="2">
        <f t="shared" si="10"/>
        <v>0</v>
      </c>
      <c r="Y32" s="2">
        <f t="shared" si="10"/>
        <v>0</v>
      </c>
      <c r="Z32" s="2">
        <f t="shared" si="10"/>
        <v>0</v>
      </c>
      <c r="AA32" s="2">
        <f t="shared" si="10"/>
        <v>0</v>
      </c>
    </row>
    <row r="33" spans="1:27" outlineLevel="1">
      <c r="A33" s="343"/>
      <c r="B33" s="323" t="s">
        <v>632</v>
      </c>
      <c r="C33" s="270"/>
      <c r="D33" s="363">
        <f>+D26</f>
        <v>9.9999999999999978E-2</v>
      </c>
      <c r="E33" s="83"/>
      <c r="F33" s="83"/>
      <c r="G33" s="136"/>
      <c r="H33" s="136"/>
      <c r="I33" s="136"/>
      <c r="J33" s="136"/>
      <c r="K33" s="136">
        <f>+K29*0.1</f>
        <v>300</v>
      </c>
      <c r="L33" s="136"/>
      <c r="M33" s="136"/>
      <c r="N33" s="32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7" outlineLevel="1" thickBot="1">
      <c r="A34" s="343"/>
      <c r="B34" s="335" t="s">
        <v>633</v>
      </c>
      <c r="C34" s="258"/>
      <c r="D34" s="325"/>
      <c r="E34" s="83"/>
      <c r="F34" s="83"/>
      <c r="G34" s="136"/>
      <c r="H34" s="136"/>
      <c r="I34" s="136"/>
      <c r="J34" s="136"/>
      <c r="K34" s="136">
        <f>+K29-K33</f>
        <v>2700</v>
      </c>
      <c r="L34" s="136"/>
      <c r="M34" s="136"/>
      <c r="N34" s="32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>
      <c r="B35" s="338" t="s">
        <v>138</v>
      </c>
      <c r="C35" s="337"/>
      <c r="D35" s="332">
        <f>+SUM(E35:Y35)</f>
        <v>8737.3300000000017</v>
      </c>
      <c r="E35" s="295"/>
      <c r="F35" s="295"/>
      <c r="G35" s="333">
        <f t="shared" ref="G35:AA35" si="11">+G36-G38-G39</f>
        <v>0</v>
      </c>
      <c r="H35" s="333">
        <f t="shared" si="11"/>
        <v>0</v>
      </c>
      <c r="I35" s="333">
        <f t="shared" si="11"/>
        <v>0</v>
      </c>
      <c r="J35" s="333">
        <f t="shared" si="11"/>
        <v>0</v>
      </c>
      <c r="K35" s="333">
        <f t="shared" si="11"/>
        <v>0</v>
      </c>
      <c r="L35" s="333">
        <f t="shared" si="11"/>
        <v>2912.4433333333336</v>
      </c>
      <c r="M35" s="333">
        <f t="shared" si="11"/>
        <v>2591.876666666667</v>
      </c>
      <c r="N35" s="334">
        <f t="shared" si="11"/>
        <v>3233.01</v>
      </c>
      <c r="O35" s="2">
        <f t="shared" si="11"/>
        <v>0</v>
      </c>
      <c r="P35" s="2">
        <f t="shared" si="11"/>
        <v>0</v>
      </c>
      <c r="Q35" s="2">
        <f t="shared" si="11"/>
        <v>0</v>
      </c>
      <c r="R35" s="2">
        <f t="shared" si="11"/>
        <v>0</v>
      </c>
      <c r="S35" s="2">
        <f t="shared" si="11"/>
        <v>0</v>
      </c>
      <c r="T35" s="2">
        <f t="shared" si="11"/>
        <v>0</v>
      </c>
      <c r="U35" s="2">
        <f t="shared" si="11"/>
        <v>0</v>
      </c>
      <c r="V35" s="2">
        <f t="shared" si="11"/>
        <v>0</v>
      </c>
      <c r="W35" s="2">
        <f t="shared" si="11"/>
        <v>0</v>
      </c>
      <c r="X35" s="2">
        <f t="shared" si="11"/>
        <v>0</v>
      </c>
      <c r="Y35" s="2">
        <f t="shared" si="11"/>
        <v>0</v>
      </c>
      <c r="Z35" s="2">
        <f t="shared" si="11"/>
        <v>0</v>
      </c>
      <c r="AA35" s="2">
        <f t="shared" si="11"/>
        <v>0</v>
      </c>
    </row>
    <row r="36" spans="1:27" outlineLevel="1">
      <c r="B36" s="323" t="s">
        <v>132</v>
      </c>
      <c r="C36" s="270"/>
      <c r="D36" s="324">
        <f>+SUM(E36:Y36)</f>
        <v>9999</v>
      </c>
      <c r="E36" s="83"/>
      <c r="F36" s="83"/>
      <c r="G36" s="136"/>
      <c r="H36" s="339"/>
      <c r="I36" s="339"/>
      <c r="J36" s="339"/>
      <c r="K36" s="339"/>
      <c r="L36" s="339">
        <v>3333</v>
      </c>
      <c r="M36" s="339">
        <v>3333</v>
      </c>
      <c r="N36" s="340">
        <v>3333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outlineLevel="1">
      <c r="B37" s="323" t="s">
        <v>141</v>
      </c>
      <c r="C37" s="270"/>
      <c r="D37" s="309"/>
      <c r="E37" s="83"/>
      <c r="F37" s="83"/>
      <c r="G37" s="136"/>
      <c r="H37" s="339"/>
      <c r="I37" s="339"/>
      <c r="J37" s="339"/>
      <c r="K37" s="339">
        <f>742.965137-H17-I17</f>
        <v>0</v>
      </c>
      <c r="L37" s="339">
        <v>127.33333333333333</v>
      </c>
      <c r="M37" s="339">
        <v>127.33333333333333</v>
      </c>
      <c r="N37" s="340">
        <v>127.33333333333333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outlineLevel="1">
      <c r="A38" s="343">
        <v>0.03</v>
      </c>
      <c r="B38" s="323" t="s">
        <v>137</v>
      </c>
      <c r="C38" s="270"/>
      <c r="D38" s="324">
        <f>+SUM(E38:Y38)</f>
        <v>299.96999999999997</v>
      </c>
      <c r="E38" s="83"/>
      <c r="F38" s="83"/>
      <c r="G38" s="136">
        <f t="shared" ref="G38:AA38" si="12">+G36*$A38</f>
        <v>0</v>
      </c>
      <c r="H38" s="136">
        <f t="shared" si="12"/>
        <v>0</v>
      </c>
      <c r="I38" s="136">
        <f t="shared" si="12"/>
        <v>0</v>
      </c>
      <c r="J38" s="136">
        <f t="shared" si="12"/>
        <v>0</v>
      </c>
      <c r="K38" s="136">
        <f t="shared" si="12"/>
        <v>0</v>
      </c>
      <c r="L38" s="136">
        <f t="shared" si="12"/>
        <v>99.99</v>
      </c>
      <c r="M38" s="136">
        <f t="shared" si="12"/>
        <v>99.99</v>
      </c>
      <c r="N38" s="322">
        <f t="shared" si="12"/>
        <v>99.99</v>
      </c>
      <c r="O38" s="2">
        <f t="shared" si="12"/>
        <v>0</v>
      </c>
      <c r="P38" s="2">
        <f t="shared" si="12"/>
        <v>0</v>
      </c>
      <c r="Q38" s="2">
        <f t="shared" si="12"/>
        <v>0</v>
      </c>
      <c r="R38" s="2">
        <f t="shared" si="12"/>
        <v>0</v>
      </c>
      <c r="S38" s="2">
        <f t="shared" si="12"/>
        <v>0</v>
      </c>
      <c r="T38" s="2">
        <f t="shared" si="12"/>
        <v>0</v>
      </c>
      <c r="U38" s="2">
        <f t="shared" si="12"/>
        <v>0</v>
      </c>
      <c r="V38" s="2">
        <f t="shared" si="12"/>
        <v>0</v>
      </c>
      <c r="W38" s="2">
        <f t="shared" si="12"/>
        <v>0</v>
      </c>
      <c r="X38" s="2">
        <f t="shared" si="12"/>
        <v>0</v>
      </c>
      <c r="Y38" s="2">
        <f t="shared" si="12"/>
        <v>0</v>
      </c>
      <c r="Z38" s="2">
        <f t="shared" si="12"/>
        <v>0</v>
      </c>
      <c r="AA38" s="2">
        <f t="shared" si="12"/>
        <v>0</v>
      </c>
    </row>
    <row r="39" spans="1:27" outlineLevel="1">
      <c r="A39" s="343">
        <v>0.1</v>
      </c>
      <c r="B39" s="323" t="s">
        <v>142</v>
      </c>
      <c r="C39" s="270"/>
      <c r="D39" s="324">
        <f>+SUM(E39:Y39)</f>
        <v>961.7</v>
      </c>
      <c r="E39" s="83"/>
      <c r="F39" s="83"/>
      <c r="G39" s="136">
        <f>+(G36-G37-G38)*$A39</f>
        <v>0</v>
      </c>
      <c r="H39" s="136">
        <f>+(H36-H37-H38)*$A39</f>
        <v>0</v>
      </c>
      <c r="I39" s="136">
        <f>+(I36-I37-I38)*$A39</f>
        <v>0</v>
      </c>
      <c r="J39" s="136">
        <f>+(J36-J37-J38)*$A39</f>
        <v>0</v>
      </c>
      <c r="K39" s="349">
        <f>+(K36-K37-K38)*$A39</f>
        <v>0</v>
      </c>
      <c r="L39" s="136">
        <f>+(L36-L37)*$A39</f>
        <v>320.56666666666666</v>
      </c>
      <c r="M39" s="136">
        <f>+(M36+N36-N37-M37)*A39</f>
        <v>641.13333333333344</v>
      </c>
      <c r="N39" s="322"/>
      <c r="O39" s="2">
        <f t="shared" ref="O39:AA39" si="13">+(O36-O37-O38)*$A39</f>
        <v>0</v>
      </c>
      <c r="P39" s="2">
        <f t="shared" si="13"/>
        <v>0</v>
      </c>
      <c r="Q39" s="2">
        <f t="shared" si="13"/>
        <v>0</v>
      </c>
      <c r="R39" s="2">
        <f t="shared" si="13"/>
        <v>0</v>
      </c>
      <c r="S39" s="2">
        <f t="shared" si="13"/>
        <v>0</v>
      </c>
      <c r="T39" s="2">
        <f t="shared" si="13"/>
        <v>0</v>
      </c>
      <c r="U39" s="2">
        <f t="shared" si="13"/>
        <v>0</v>
      </c>
      <c r="V39" s="2">
        <f t="shared" si="13"/>
        <v>0</v>
      </c>
      <c r="W39" s="2">
        <f t="shared" si="13"/>
        <v>0</v>
      </c>
      <c r="X39" s="2">
        <f t="shared" si="13"/>
        <v>0</v>
      </c>
      <c r="Y39" s="2">
        <f t="shared" si="13"/>
        <v>0</v>
      </c>
      <c r="Z39" s="2">
        <f t="shared" si="13"/>
        <v>0</v>
      </c>
      <c r="AA39" s="2">
        <f t="shared" si="13"/>
        <v>0</v>
      </c>
    </row>
    <row r="40" spans="1:27" outlineLevel="1">
      <c r="A40" s="343"/>
      <c r="B40" s="323" t="s">
        <v>632</v>
      </c>
      <c r="C40" s="270"/>
      <c r="D40" s="363">
        <v>0.1</v>
      </c>
      <c r="E40" s="83"/>
      <c r="F40" s="83"/>
      <c r="G40" s="136"/>
      <c r="H40" s="136"/>
      <c r="I40" s="136"/>
      <c r="J40" s="136"/>
      <c r="K40" s="349"/>
      <c r="L40" s="136">
        <f>+L36*$D$40</f>
        <v>333.3</v>
      </c>
      <c r="M40" s="136">
        <f>+M36*$D$40</f>
        <v>333.3</v>
      </c>
      <c r="N40" s="136">
        <f>+N36*$D$40</f>
        <v>333.3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7" outlineLevel="1" thickBot="1">
      <c r="A41" s="343"/>
      <c r="B41" s="335" t="s">
        <v>633</v>
      </c>
      <c r="C41" s="270"/>
      <c r="D41" s="324"/>
      <c r="E41" s="83"/>
      <c r="F41" s="83"/>
      <c r="G41" s="136"/>
      <c r="H41" s="136"/>
      <c r="I41" s="136"/>
      <c r="J41" s="136"/>
      <c r="K41" s="349"/>
      <c r="L41" s="136"/>
      <c r="M41" s="136"/>
      <c r="N41" s="32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>
      <c r="B42" s="338" t="s">
        <v>139</v>
      </c>
      <c r="C42" s="337"/>
      <c r="D42" s="332">
        <f>+SUM(E42:Y42)</f>
        <v>6811.5268679999999</v>
      </c>
      <c r="E42" s="295"/>
      <c r="F42" s="295"/>
      <c r="G42" s="333">
        <f t="shared" ref="G42:AA42" si="14">+G43-G45-G46</f>
        <v>0</v>
      </c>
      <c r="H42" s="333">
        <f t="shared" si="14"/>
        <v>0</v>
      </c>
      <c r="I42" s="333">
        <f t="shared" si="14"/>
        <v>0</v>
      </c>
      <c r="J42" s="333">
        <f t="shared" si="14"/>
        <v>0</v>
      </c>
      <c r="K42" s="333">
        <f>+K43-K45-K46</f>
        <v>6811.5268679999999</v>
      </c>
      <c r="L42" s="333">
        <f t="shared" si="14"/>
        <v>0</v>
      </c>
      <c r="M42" s="333">
        <f t="shared" si="14"/>
        <v>0</v>
      </c>
      <c r="N42" s="334">
        <f t="shared" si="14"/>
        <v>0</v>
      </c>
      <c r="O42" s="2">
        <f t="shared" si="14"/>
        <v>0</v>
      </c>
      <c r="P42" s="2">
        <f t="shared" si="14"/>
        <v>0</v>
      </c>
      <c r="Q42" s="2">
        <f t="shared" si="14"/>
        <v>0</v>
      </c>
      <c r="R42" s="2">
        <f t="shared" si="14"/>
        <v>0</v>
      </c>
      <c r="S42" s="2">
        <f t="shared" si="14"/>
        <v>0</v>
      </c>
      <c r="T42" s="2">
        <f t="shared" si="14"/>
        <v>0</v>
      </c>
      <c r="U42" s="2">
        <f t="shared" si="14"/>
        <v>0</v>
      </c>
      <c r="V42" s="2">
        <f t="shared" si="14"/>
        <v>0</v>
      </c>
      <c r="W42" s="2">
        <f t="shared" si="14"/>
        <v>0</v>
      </c>
      <c r="X42" s="2">
        <f t="shared" si="14"/>
        <v>0</v>
      </c>
      <c r="Y42" s="2">
        <f t="shared" si="14"/>
        <v>0</v>
      </c>
      <c r="Z42" s="2">
        <f t="shared" si="14"/>
        <v>0</v>
      </c>
      <c r="AA42" s="2">
        <f t="shared" si="14"/>
        <v>0</v>
      </c>
    </row>
    <row r="43" spans="1:27" outlineLevel="1">
      <c r="B43" s="323" t="s">
        <v>132</v>
      </c>
      <c r="C43" s="270"/>
      <c r="D43" s="324">
        <f>+SUM(E43:Y43)</f>
        <v>7500</v>
      </c>
      <c r="E43" s="83"/>
      <c r="F43" s="83"/>
      <c r="G43" s="136"/>
      <c r="H43" s="339"/>
      <c r="I43" s="339"/>
      <c r="J43" s="339"/>
      <c r="K43" s="339">
        <v>7500</v>
      </c>
      <c r="L43" s="339"/>
      <c r="M43" s="339"/>
      <c r="N43" s="340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outlineLevel="1">
      <c r="B44" s="323" t="s">
        <v>141</v>
      </c>
      <c r="C44" s="270"/>
      <c r="D44" s="309"/>
      <c r="E44" s="83"/>
      <c r="F44" s="83"/>
      <c r="G44" s="136"/>
      <c r="H44" s="339"/>
      <c r="I44" s="339"/>
      <c r="J44" s="339"/>
      <c r="K44" s="339">
        <v>2865.2686800000001</v>
      </c>
      <c r="L44" s="339"/>
      <c r="M44" s="339"/>
      <c r="N44" s="340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outlineLevel="1">
      <c r="A45" s="343">
        <v>0.03</v>
      </c>
      <c r="B45" s="323" t="s">
        <v>137</v>
      </c>
      <c r="C45" s="270"/>
      <c r="D45" s="324">
        <f>+SUM(E45:Y45)</f>
        <v>225</v>
      </c>
      <c r="E45" s="83"/>
      <c r="F45" s="83"/>
      <c r="G45" s="136">
        <f t="shared" ref="G45:AA45" si="15">+G43*$A45</f>
        <v>0</v>
      </c>
      <c r="H45" s="136">
        <f t="shared" si="15"/>
        <v>0</v>
      </c>
      <c r="I45" s="136">
        <f t="shared" si="15"/>
        <v>0</v>
      </c>
      <c r="J45" s="136">
        <f t="shared" si="15"/>
        <v>0</v>
      </c>
      <c r="K45" s="136">
        <f t="shared" si="15"/>
        <v>225</v>
      </c>
      <c r="L45" s="136">
        <f t="shared" si="15"/>
        <v>0</v>
      </c>
      <c r="M45" s="136">
        <f t="shared" si="15"/>
        <v>0</v>
      </c>
      <c r="N45" s="322">
        <f t="shared" si="15"/>
        <v>0</v>
      </c>
      <c r="O45" s="2">
        <f t="shared" si="15"/>
        <v>0</v>
      </c>
      <c r="P45" s="2">
        <f t="shared" si="15"/>
        <v>0</v>
      </c>
      <c r="Q45" s="2">
        <f t="shared" si="15"/>
        <v>0</v>
      </c>
      <c r="R45" s="2">
        <f t="shared" si="15"/>
        <v>0</v>
      </c>
      <c r="S45" s="2">
        <f t="shared" si="15"/>
        <v>0</v>
      </c>
      <c r="T45" s="2">
        <f t="shared" si="15"/>
        <v>0</v>
      </c>
      <c r="U45" s="2">
        <f t="shared" si="15"/>
        <v>0</v>
      </c>
      <c r="V45" s="2">
        <f t="shared" si="15"/>
        <v>0</v>
      </c>
      <c r="W45" s="2">
        <f t="shared" si="15"/>
        <v>0</v>
      </c>
      <c r="X45" s="2">
        <f t="shared" si="15"/>
        <v>0</v>
      </c>
      <c r="Y45" s="2">
        <f t="shared" si="15"/>
        <v>0</v>
      </c>
      <c r="Z45" s="2">
        <f t="shared" si="15"/>
        <v>0</v>
      </c>
      <c r="AA45" s="2">
        <f t="shared" si="15"/>
        <v>0</v>
      </c>
    </row>
    <row r="46" spans="1:27" outlineLevel="1">
      <c r="A46" s="343">
        <v>0.1</v>
      </c>
      <c r="B46" s="323" t="s">
        <v>142</v>
      </c>
      <c r="C46" s="270"/>
      <c r="D46" s="324">
        <f>+SUM(E46:Y46)</f>
        <v>463.47313200000002</v>
      </c>
      <c r="E46" s="83"/>
      <c r="F46" s="83"/>
      <c r="G46" s="136">
        <f t="shared" ref="G46:AA46" si="16">+(G43-G44-G45)*$A46</f>
        <v>0</v>
      </c>
      <c r="H46" s="136">
        <f t="shared" si="16"/>
        <v>0</v>
      </c>
      <c r="I46" s="136">
        <f t="shared" si="16"/>
        <v>0</v>
      </c>
      <c r="J46" s="136">
        <f t="shared" si="16"/>
        <v>0</v>
      </c>
      <c r="K46" s="136">
        <f>+(K43-K44)*$A46</f>
        <v>463.47313200000002</v>
      </c>
      <c r="L46" s="136">
        <f t="shared" si="16"/>
        <v>0</v>
      </c>
      <c r="M46" s="136">
        <f t="shared" si="16"/>
        <v>0</v>
      </c>
      <c r="N46" s="322">
        <f t="shared" si="16"/>
        <v>0</v>
      </c>
      <c r="O46" s="2">
        <f t="shared" si="16"/>
        <v>0</v>
      </c>
      <c r="P46" s="2">
        <f t="shared" si="16"/>
        <v>0</v>
      </c>
      <c r="Q46" s="2">
        <f t="shared" si="16"/>
        <v>0</v>
      </c>
      <c r="R46" s="2">
        <f t="shared" si="16"/>
        <v>0</v>
      </c>
      <c r="S46" s="2">
        <f t="shared" si="16"/>
        <v>0</v>
      </c>
      <c r="T46" s="2">
        <f t="shared" si="16"/>
        <v>0</v>
      </c>
      <c r="U46" s="2">
        <f t="shared" si="16"/>
        <v>0</v>
      </c>
      <c r="V46" s="2">
        <f t="shared" si="16"/>
        <v>0</v>
      </c>
      <c r="W46" s="2">
        <f t="shared" si="16"/>
        <v>0</v>
      </c>
      <c r="X46" s="2">
        <f t="shared" si="16"/>
        <v>0</v>
      </c>
      <c r="Y46" s="2">
        <f t="shared" si="16"/>
        <v>0</v>
      </c>
      <c r="Z46" s="2">
        <f t="shared" si="16"/>
        <v>0</v>
      </c>
      <c r="AA46" s="2">
        <f t="shared" si="16"/>
        <v>0</v>
      </c>
    </row>
    <row r="47" spans="1:27" outlineLevel="1">
      <c r="A47" s="343"/>
      <c r="B47" s="323" t="s">
        <v>632</v>
      </c>
      <c r="C47" s="270"/>
      <c r="D47" s="363">
        <v>0.1</v>
      </c>
      <c r="E47" s="83"/>
      <c r="F47" s="83"/>
      <c r="G47" s="136"/>
      <c r="H47" s="136"/>
      <c r="I47" s="136"/>
      <c r="J47" s="136"/>
      <c r="K47" s="136">
        <f>+K43*D47</f>
        <v>750</v>
      </c>
      <c r="L47" s="136"/>
      <c r="M47" s="136"/>
      <c r="N47" s="32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7" outlineLevel="1" thickBot="1">
      <c r="A48" s="343"/>
      <c r="B48" s="335" t="s">
        <v>633</v>
      </c>
      <c r="C48" s="270"/>
      <c r="D48" s="324"/>
      <c r="E48" s="83"/>
      <c r="F48" s="83"/>
      <c r="G48" s="136"/>
      <c r="H48" s="136"/>
      <c r="I48" s="136"/>
      <c r="J48" s="136"/>
      <c r="K48" s="136"/>
      <c r="L48" s="136"/>
      <c r="M48" s="136"/>
      <c r="N48" s="32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>
      <c r="B49" s="338" t="s">
        <v>140</v>
      </c>
      <c r="C49" s="337"/>
      <c r="D49" s="332">
        <f>+SUM(E49:Y49)</f>
        <v>5179.4305216299981</v>
      </c>
      <c r="E49" s="295"/>
      <c r="F49" s="295"/>
      <c r="G49" s="333">
        <f t="shared" ref="G49:L49" si="17">+G50-G52-G53-G51</f>
        <v>0</v>
      </c>
      <c r="H49" s="333">
        <f t="shared" si="17"/>
        <v>0</v>
      </c>
      <c r="I49" s="333">
        <f t="shared" si="17"/>
        <v>0</v>
      </c>
      <c r="J49" s="333">
        <f t="shared" si="17"/>
        <v>0</v>
      </c>
      <c r="K49" s="333">
        <f t="shared" si="17"/>
        <v>5179.4305216299981</v>
      </c>
      <c r="L49" s="333">
        <f t="shared" si="17"/>
        <v>0</v>
      </c>
      <c r="M49" s="333">
        <f t="shared" ref="M49:AA49" si="18">+M50-M52-M53-M51</f>
        <v>0</v>
      </c>
      <c r="N49" s="334">
        <f t="shared" si="18"/>
        <v>0</v>
      </c>
      <c r="O49" s="2">
        <f t="shared" si="18"/>
        <v>0</v>
      </c>
      <c r="P49" s="2">
        <f t="shared" si="18"/>
        <v>0</v>
      </c>
      <c r="Q49" s="2">
        <f t="shared" si="18"/>
        <v>0</v>
      </c>
      <c r="R49" s="2">
        <f t="shared" si="18"/>
        <v>0</v>
      </c>
      <c r="S49" s="2">
        <f t="shared" si="18"/>
        <v>0</v>
      </c>
      <c r="T49" s="2">
        <f t="shared" si="18"/>
        <v>0</v>
      </c>
      <c r="U49" s="2">
        <f t="shared" si="18"/>
        <v>0</v>
      </c>
      <c r="V49" s="2">
        <f t="shared" si="18"/>
        <v>0</v>
      </c>
      <c r="W49" s="2">
        <f t="shared" si="18"/>
        <v>0</v>
      </c>
      <c r="X49" s="2">
        <f t="shared" si="18"/>
        <v>0</v>
      </c>
      <c r="Y49" s="2">
        <f t="shared" si="18"/>
        <v>0</v>
      </c>
      <c r="Z49" s="2">
        <f t="shared" si="18"/>
        <v>0</v>
      </c>
      <c r="AA49" s="2">
        <f t="shared" si="18"/>
        <v>0</v>
      </c>
    </row>
    <row r="50" spans="1:27" outlineLevel="1">
      <c r="B50" s="323" t="s">
        <v>132</v>
      </c>
      <c r="C50" s="270"/>
      <c r="D50" s="324">
        <f>+SUM(E50:Y50)</f>
        <v>45000</v>
      </c>
      <c r="E50" s="83"/>
      <c r="F50" s="83"/>
      <c r="G50" s="136"/>
      <c r="H50" s="339"/>
      <c r="I50" s="339"/>
      <c r="J50" s="339"/>
      <c r="K50" s="339">
        <v>45000</v>
      </c>
      <c r="L50" s="339"/>
      <c r="M50" s="339"/>
      <c r="N50" s="34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outlineLevel="1">
      <c r="B51" s="323" t="s">
        <v>143</v>
      </c>
      <c r="C51" s="270"/>
      <c r="D51" s="309"/>
      <c r="E51" s="83"/>
      <c r="F51" s="83"/>
      <c r="G51" s="136"/>
      <c r="H51" s="339"/>
      <c r="I51" s="339"/>
      <c r="J51" s="339"/>
      <c r="K51" s="339">
        <v>35254.581311000002</v>
      </c>
      <c r="L51" s="339"/>
      <c r="M51" s="339"/>
      <c r="N51" s="340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outlineLevel="1">
      <c r="A52" s="343">
        <v>0.03</v>
      </c>
      <c r="B52" s="323" t="s">
        <v>137</v>
      </c>
      <c r="C52" s="270"/>
      <c r="D52" s="324">
        <f>+SUM(E52:Y52)</f>
        <v>1350</v>
      </c>
      <c r="E52" s="83"/>
      <c r="F52" s="83"/>
      <c r="G52" s="136">
        <f t="shared" ref="G52:AA52" si="19">+G50*$A52</f>
        <v>0</v>
      </c>
      <c r="H52" s="136">
        <f t="shared" si="19"/>
        <v>0</v>
      </c>
      <c r="I52" s="136">
        <f t="shared" si="19"/>
        <v>0</v>
      </c>
      <c r="J52" s="136">
        <f t="shared" si="19"/>
        <v>0</v>
      </c>
      <c r="K52" s="136">
        <f t="shared" si="19"/>
        <v>1350</v>
      </c>
      <c r="L52" s="136">
        <f t="shared" si="19"/>
        <v>0</v>
      </c>
      <c r="M52" s="136">
        <f t="shared" si="19"/>
        <v>0</v>
      </c>
      <c r="N52" s="322">
        <f t="shared" si="19"/>
        <v>0</v>
      </c>
      <c r="O52" s="2">
        <f t="shared" si="19"/>
        <v>0</v>
      </c>
      <c r="P52" s="2">
        <f t="shared" si="19"/>
        <v>0</v>
      </c>
      <c r="Q52" s="2">
        <f t="shared" si="19"/>
        <v>0</v>
      </c>
      <c r="R52" s="2">
        <f t="shared" si="19"/>
        <v>0</v>
      </c>
      <c r="S52" s="2">
        <f t="shared" si="19"/>
        <v>0</v>
      </c>
      <c r="T52" s="2">
        <f t="shared" si="19"/>
        <v>0</v>
      </c>
      <c r="U52" s="2">
        <f t="shared" si="19"/>
        <v>0</v>
      </c>
      <c r="V52" s="2">
        <f t="shared" si="19"/>
        <v>0</v>
      </c>
      <c r="W52" s="2">
        <f t="shared" si="19"/>
        <v>0</v>
      </c>
      <c r="X52" s="2">
        <f t="shared" si="19"/>
        <v>0</v>
      </c>
      <c r="Y52" s="2">
        <f t="shared" si="19"/>
        <v>0</v>
      </c>
      <c r="Z52" s="2">
        <f t="shared" si="19"/>
        <v>0</v>
      </c>
      <c r="AA52" s="2">
        <f t="shared" si="19"/>
        <v>0</v>
      </c>
    </row>
    <row r="53" spans="1:27" ht="17" outlineLevel="1" thickBot="1">
      <c r="A53" s="343">
        <v>0.33</v>
      </c>
      <c r="B53" s="335" t="s">
        <v>142</v>
      </c>
      <c r="C53" s="258"/>
      <c r="D53" s="325">
        <f>+SUM(E53:Y53)</f>
        <v>3215.9881673699997</v>
      </c>
      <c r="E53" s="299"/>
      <c r="F53" s="299"/>
      <c r="G53" s="300">
        <f t="shared" ref="G53:AA53" si="20">+(G50-G51-G52)*$A53</f>
        <v>0</v>
      </c>
      <c r="H53" s="300">
        <f t="shared" si="20"/>
        <v>0</v>
      </c>
      <c r="I53" s="300">
        <f t="shared" si="20"/>
        <v>0</v>
      </c>
      <c r="J53" s="300">
        <f t="shared" si="20"/>
        <v>0</v>
      </c>
      <c r="K53" s="300">
        <f>+(K50-K51)*$A53</f>
        <v>3215.9881673699997</v>
      </c>
      <c r="L53" s="300">
        <f t="shared" si="20"/>
        <v>0</v>
      </c>
      <c r="M53" s="300">
        <f t="shared" si="20"/>
        <v>0</v>
      </c>
      <c r="N53" s="301">
        <f t="shared" si="20"/>
        <v>0</v>
      </c>
      <c r="O53" s="2">
        <f t="shared" si="20"/>
        <v>0</v>
      </c>
      <c r="P53" s="2">
        <f t="shared" si="20"/>
        <v>0</v>
      </c>
      <c r="Q53" s="2">
        <f t="shared" si="20"/>
        <v>0</v>
      </c>
      <c r="R53" s="2">
        <f t="shared" si="20"/>
        <v>0</v>
      </c>
      <c r="S53" s="2">
        <f t="shared" si="20"/>
        <v>0</v>
      </c>
      <c r="T53" s="2">
        <f t="shared" si="20"/>
        <v>0</v>
      </c>
      <c r="U53" s="2">
        <f t="shared" si="20"/>
        <v>0</v>
      </c>
      <c r="V53" s="2">
        <f t="shared" si="20"/>
        <v>0</v>
      </c>
      <c r="W53" s="2">
        <f t="shared" si="20"/>
        <v>0</v>
      </c>
      <c r="X53" s="2">
        <f t="shared" si="20"/>
        <v>0</v>
      </c>
      <c r="Y53" s="2">
        <f t="shared" si="20"/>
        <v>0</v>
      </c>
      <c r="Z53" s="2">
        <f t="shared" si="20"/>
        <v>0</v>
      </c>
      <c r="AA53" s="2">
        <f t="shared" si="20"/>
        <v>0</v>
      </c>
    </row>
    <row r="54" spans="1:27">
      <c r="B54" s="10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>
      <c r="B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>
      <c r="B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>
      <c r="A57" s="1"/>
      <c r="B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>
      <c r="A58" s="1"/>
      <c r="B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B2:AG231"/>
  <sheetViews>
    <sheetView showGridLines="0" showZeros="0" topLeftCell="B1" zoomScale="150" zoomScaleNormal="150" zoomScalePageLayoutView="150" workbookViewId="0">
      <pane xSplit="6" ySplit="4" topLeftCell="I150" activePane="bottomRight" state="frozen"/>
      <selection activeCell="C38" sqref="C38:C40"/>
      <selection pane="topRight" activeCell="C38" sqref="C38:C40"/>
      <selection pane="bottomLeft" activeCell="C38" sqref="C38:C40"/>
      <selection pane="bottomRight" activeCell="I149" sqref="I149"/>
    </sheetView>
  </sheetViews>
  <sheetFormatPr baseColWidth="10" defaultRowHeight="16" outlineLevelRow="3"/>
  <cols>
    <col min="2" max="2" width="37.1640625" bestFit="1" customWidth="1"/>
    <col min="3" max="4" width="10.33203125" hidden="1" customWidth="1"/>
    <col min="5" max="5" width="8.6640625" hidden="1" customWidth="1"/>
    <col min="6" max="7" width="10.33203125" hidden="1" customWidth="1"/>
    <col min="8" max="8" width="10.33203125" customWidth="1"/>
    <col min="9" max="9" width="15.1640625" bestFit="1" customWidth="1"/>
    <col min="10" max="10" width="10.5" bestFit="1" customWidth="1"/>
    <col min="11" max="11" width="11.5" bestFit="1" customWidth="1"/>
    <col min="12" max="15" width="12.33203125" bestFit="1" customWidth="1"/>
    <col min="16" max="17" width="11.5" bestFit="1" customWidth="1"/>
    <col min="18" max="23" width="12.33203125" bestFit="1" customWidth="1"/>
    <col min="24" max="25" width="12.1640625" bestFit="1" customWidth="1"/>
    <col min="26" max="26" width="11.1640625" bestFit="1" customWidth="1"/>
    <col min="27" max="32" width="12.1640625" bestFit="1" customWidth="1"/>
  </cols>
  <sheetData>
    <row r="2" spans="2:33">
      <c r="B2" t="s">
        <v>354</v>
      </c>
      <c r="K2" s="58"/>
      <c r="L2" s="58">
        <f t="shared" ref="L2:AF2" si="0">+L5/K5-1</f>
        <v>-3.8680626590648082E-4</v>
      </c>
      <c r="M2" s="58">
        <f t="shared" si="0"/>
        <v>-0.2551460724764284</v>
      </c>
      <c r="N2" s="58">
        <f t="shared" si="0"/>
        <v>0.33956420023036071</v>
      </c>
      <c r="O2" s="58">
        <f t="shared" si="0"/>
        <v>0.38328125174925431</v>
      </c>
      <c r="P2" s="58">
        <f t="shared" si="0"/>
        <v>0.18999870541605435</v>
      </c>
      <c r="Q2" s="58">
        <f t="shared" si="0"/>
        <v>0.28307639736810453</v>
      </c>
      <c r="R2" s="58">
        <f t="shared" si="0"/>
        <v>0.14311086151179842</v>
      </c>
      <c r="S2" s="58">
        <f t="shared" si="0"/>
        <v>9.1890158596394267E-2</v>
      </c>
      <c r="T2" s="58">
        <f t="shared" si="0"/>
        <v>0.10795303426863523</v>
      </c>
      <c r="U2" s="58">
        <f t="shared" si="0"/>
        <v>8.2400059566078987E-2</v>
      </c>
      <c r="V2" s="58">
        <f t="shared" si="0"/>
        <v>8.0122010035576174E-2</v>
      </c>
      <c r="W2" s="58">
        <f t="shared" si="0"/>
        <v>6.3296463551280713E-2</v>
      </c>
      <c r="X2" s="58">
        <f t="shared" si="0"/>
        <v>5.6295936895407239E-2</v>
      </c>
      <c r="Y2" s="58">
        <f t="shared" si="0"/>
        <v>2.5997799340281347E-2</v>
      </c>
      <c r="Z2" s="58">
        <f t="shared" si="0"/>
        <v>6.0429443457608922E-2</v>
      </c>
      <c r="AA2" s="58">
        <f t="shared" si="0"/>
        <v>6.4917454920603745E-2</v>
      </c>
      <c r="AB2" s="58">
        <f t="shared" si="0"/>
        <v>6.7452846063517979E-2</v>
      </c>
      <c r="AC2" s="58">
        <f t="shared" si="0"/>
        <v>3.6809316197372377E-2</v>
      </c>
      <c r="AD2" s="58">
        <f t="shared" si="0"/>
        <v>9.6336936407736218E-2</v>
      </c>
      <c r="AE2" s="58">
        <f t="shared" si="0"/>
        <v>3.0723889427846096E-2</v>
      </c>
      <c r="AF2" s="58">
        <f t="shared" si="0"/>
        <v>6.1766953173631345E-2</v>
      </c>
      <c r="AG2" s="58">
        <f>+AG5/AF5</f>
        <v>0</v>
      </c>
    </row>
    <row r="3" spans="2:33">
      <c r="B3" s="86" t="s">
        <v>353</v>
      </c>
      <c r="C3" s="86"/>
      <c r="D3" s="86"/>
      <c r="E3" s="86"/>
      <c r="F3" s="86"/>
      <c r="G3" s="86"/>
      <c r="H3" s="86"/>
      <c r="I3" s="86"/>
      <c r="J3" s="86"/>
      <c r="M3" s="2">
        <f t="shared" ref="M3:AF3" si="1">+M5/(1+INFLACION)^(M4-$L$4)</f>
        <v>148427.04710676183</v>
      </c>
      <c r="N3" s="2">
        <f t="shared" si="1"/>
        <v>191180.34485588796</v>
      </c>
      <c r="O3" s="2">
        <f t="shared" si="1"/>
        <v>254284.79494433347</v>
      </c>
      <c r="P3" s="2">
        <f t="shared" si="1"/>
        <v>290960.16999109962</v>
      </c>
      <c r="Q3" s="2">
        <f t="shared" si="1"/>
        <v>358965.5064324917</v>
      </c>
      <c r="R3" s="2">
        <f t="shared" si="1"/>
        <v>394555.16279910057</v>
      </c>
      <c r="S3" s="2">
        <f t="shared" si="1"/>
        <v>414241.24931128469</v>
      </c>
      <c r="T3" s="2">
        <f t="shared" si="1"/>
        <v>441307.54720544996</v>
      </c>
      <c r="U3" s="2">
        <f t="shared" si="1"/>
        <v>459299.34171359544</v>
      </c>
      <c r="V3" s="2">
        <f t="shared" si="1"/>
        <v>477018.5847881785</v>
      </c>
      <c r="W3" s="2">
        <f t="shared" si="1"/>
        <v>487704.0137052951</v>
      </c>
      <c r="X3" s="2">
        <f t="shared" si="1"/>
        <v>495345.93085046648</v>
      </c>
      <c r="Y3" s="2">
        <f t="shared" si="1"/>
        <v>488676.76438917482</v>
      </c>
      <c r="Z3" s="2">
        <f t="shared" si="1"/>
        <v>498276.1820114209</v>
      </c>
      <c r="AA3" s="2">
        <f t="shared" si="1"/>
        <v>510214.42653380567</v>
      </c>
      <c r="AB3" s="2">
        <f t="shared" si="1"/>
        <v>523682.54010209272</v>
      </c>
      <c r="AC3" s="2">
        <f t="shared" si="1"/>
        <v>522075.90029591718</v>
      </c>
      <c r="AD3" s="2">
        <f t="shared" si="1"/>
        <v>550356.82029109285</v>
      </c>
      <c r="AE3" s="2">
        <f t="shared" si="1"/>
        <v>545448.00229190127</v>
      </c>
      <c r="AF3" s="2">
        <f t="shared" si="1"/>
        <v>556864.09952703456</v>
      </c>
    </row>
    <row r="4" spans="2:33">
      <c r="B4" s="101"/>
      <c r="C4" s="114"/>
      <c r="D4" s="114"/>
      <c r="E4" s="114"/>
      <c r="F4" s="114"/>
      <c r="G4" s="114"/>
      <c r="H4" s="114"/>
      <c r="I4" s="114"/>
      <c r="J4" s="114"/>
      <c r="K4" s="114">
        <v>2018</v>
      </c>
      <c r="L4" s="114">
        <v>2019</v>
      </c>
      <c r="M4" s="114">
        <v>2020</v>
      </c>
      <c r="N4" s="114">
        <v>2021</v>
      </c>
      <c r="O4" s="114">
        <v>2022</v>
      </c>
      <c r="P4" s="114">
        <v>2023</v>
      </c>
      <c r="Q4" s="114">
        <v>2024</v>
      </c>
      <c r="R4" s="114">
        <v>2025</v>
      </c>
      <c r="S4" s="114">
        <v>2026</v>
      </c>
      <c r="T4" s="114">
        <v>2027</v>
      </c>
      <c r="U4" s="114">
        <v>2028</v>
      </c>
      <c r="V4" s="114">
        <v>2029</v>
      </c>
      <c r="W4" s="114">
        <v>2030</v>
      </c>
      <c r="X4" s="114">
        <v>2031</v>
      </c>
      <c r="Y4" s="114">
        <v>2032</v>
      </c>
      <c r="Z4" s="114">
        <v>2033</v>
      </c>
      <c r="AA4" s="114">
        <v>2034</v>
      </c>
      <c r="AB4" s="114">
        <v>2035</v>
      </c>
      <c r="AC4" s="85">
        <v>2036</v>
      </c>
      <c r="AD4" s="85">
        <v>2037</v>
      </c>
      <c r="AE4" s="85">
        <v>2038</v>
      </c>
      <c r="AF4" s="85">
        <v>2039</v>
      </c>
    </row>
    <row r="5" spans="2:33">
      <c r="B5" s="94" t="s">
        <v>16</v>
      </c>
      <c r="C5" s="94"/>
      <c r="D5" s="94"/>
      <c r="E5" s="94"/>
      <c r="F5" s="94"/>
      <c r="G5" s="94"/>
      <c r="H5" s="94"/>
      <c r="I5" s="94"/>
      <c r="J5" s="97"/>
      <c r="K5" s="97">
        <f>+K6+K24</f>
        <v>207321</v>
      </c>
      <c r="L5" s="97">
        <f>+L6+L24</f>
        <v>207240.80693814601</v>
      </c>
      <c r="M5" s="97">
        <f t="shared" ref="M5:AF5" si="2">+M6+M24</f>
        <v>154364.12899103231</v>
      </c>
      <c r="N5" s="97">
        <f t="shared" si="2"/>
        <v>206780.66099612843</v>
      </c>
      <c r="O5" s="97">
        <f t="shared" si="2"/>
        <v>286035.81158026273</v>
      </c>
      <c r="P5" s="97">
        <f t="shared" si="2"/>
        <v>340382.24548314308</v>
      </c>
      <c r="Q5" s="97">
        <f t="shared" si="2"/>
        <v>436736.42526257702</v>
      </c>
      <c r="R5" s="97">
        <f t="shared" si="2"/>
        <v>499238.15133548755</v>
      </c>
      <c r="S5" s="97">
        <f t="shared" si="2"/>
        <v>545113.22423907614</v>
      </c>
      <c r="T5" s="97">
        <f t="shared" si="2"/>
        <v>603959.85081564332</v>
      </c>
      <c r="U5" s="97">
        <f t="shared" si="2"/>
        <v>653726.17849837255</v>
      </c>
      <c r="V5" s="97">
        <f t="shared" si="2"/>
        <v>706104.033932538</v>
      </c>
      <c r="W5" s="97">
        <f t="shared" si="2"/>
        <v>750797.92217976111</v>
      </c>
      <c r="X5" s="97">
        <f t="shared" si="2"/>
        <v>793064.79462799581</v>
      </c>
      <c r="Y5" s="97">
        <f t="shared" si="2"/>
        <v>813682.7340225759</v>
      </c>
      <c r="Z5" s="97">
        <f t="shared" si="2"/>
        <v>862853.12879062584</v>
      </c>
      <c r="AA5" s="97">
        <f t="shared" si="2"/>
        <v>918867.35788199317</v>
      </c>
      <c r="AB5" s="97">
        <f t="shared" si="2"/>
        <v>980847.57632599876</v>
      </c>
      <c r="AC5" s="97">
        <f t="shared" si="2"/>
        <v>1016951.9049044088</v>
      </c>
      <c r="AD5" s="97">
        <f t="shared" si="2"/>
        <v>1114921.9358969112</v>
      </c>
      <c r="AE5" s="97">
        <f t="shared" si="2"/>
        <v>1149176.6741760881</v>
      </c>
      <c r="AF5" s="97">
        <f t="shared" si="2"/>
        <v>1220157.8159981519</v>
      </c>
      <c r="AG5" s="38"/>
    </row>
    <row r="6" spans="2:33" s="4" customFormat="1" outlineLevel="1">
      <c r="B6" s="156" t="s">
        <v>17</v>
      </c>
      <c r="C6" s="156"/>
      <c r="D6" s="156"/>
      <c r="E6" s="156"/>
      <c r="F6" s="156"/>
      <c r="G6" s="156"/>
      <c r="H6" s="107"/>
      <c r="I6" s="107"/>
      <c r="J6" s="98"/>
      <c r="K6" s="98">
        <f>+'Ventas externas'!K6</f>
        <v>207321</v>
      </c>
      <c r="L6" s="98">
        <f>+'Ventas externas'!L6</f>
        <v>148633</v>
      </c>
      <c r="M6" s="98">
        <f>+'Ventas externas'!M6</f>
        <v>115244</v>
      </c>
      <c r="N6" s="98">
        <f>+'Ventas externas'!N6</f>
        <v>156414.24</v>
      </c>
      <c r="O6" s="98">
        <f>+'Ventas externas'!O6</f>
        <v>187235.72959999999</v>
      </c>
      <c r="P6" s="98">
        <f>+'Ventas externas'!P6</f>
        <v>252925.158784</v>
      </c>
      <c r="Q6" s="98">
        <f>+'Ventas externas'!Q6</f>
        <v>315520.28123136004</v>
      </c>
      <c r="R6" s="98">
        <f>+'Ventas externas'!R6</f>
        <v>338156.37568061444</v>
      </c>
      <c r="S6" s="98">
        <f>+'Ventas externas'!S6</f>
        <v>362431.83386073506</v>
      </c>
      <c r="T6" s="98">
        <f>+'Ventas externas'!T6</f>
        <v>388466.01197510475</v>
      </c>
      <c r="U6" s="98">
        <f>+'Ventas externas'!U6</f>
        <v>416386.98159485759</v>
      </c>
      <c r="V6" s="98">
        <f>+'Ventas externas'!V6</f>
        <v>446332.16707883461</v>
      </c>
      <c r="W6" s="98">
        <f>+'Ventas externas'!W6</f>
        <v>468642.8212282373</v>
      </c>
      <c r="X6" s="98">
        <f>+'Ventas externas'!X6</f>
        <v>502370.9941943211</v>
      </c>
      <c r="Y6" s="98">
        <f>+'Ventas externas'!Y6</f>
        <v>538546.20875641878</v>
      </c>
      <c r="Z6" s="98">
        <f>+'Ventas externas'!Z6</f>
        <v>577346.80176592863</v>
      </c>
      <c r="AA6" s="98">
        <f>+'Ventas externas'!AA6</f>
        <v>618964.13930444873</v>
      </c>
      <c r="AB6" s="98">
        <f>+'Ventas externas'!AB6</f>
        <v>663603.56989399611</v>
      </c>
      <c r="AC6" s="98">
        <f>+'Ventas externas'!AC6</f>
        <v>696815.75481658184</v>
      </c>
      <c r="AD6" s="98">
        <f>+'Ventas externas'!AD6</f>
        <v>747101.54164930189</v>
      </c>
      <c r="AE6" s="98">
        <f>+'Ventas externas'!AE6</f>
        <v>801041.19607391418</v>
      </c>
      <c r="AF6" s="98">
        <f>+'Ventas externas'!AF6</f>
        <v>858901.23051286419</v>
      </c>
    </row>
    <row r="7" spans="2:33" s="5" customFormat="1" hidden="1" outlineLevel="2">
      <c r="B7" s="159" t="s">
        <v>7</v>
      </c>
      <c r="C7" s="159"/>
      <c r="D7" s="159"/>
      <c r="E7" s="159"/>
      <c r="F7" s="159"/>
      <c r="G7" s="159"/>
      <c r="H7" s="91"/>
      <c r="I7" s="91"/>
      <c r="J7" s="99"/>
      <c r="K7" s="99">
        <f>+'Ventas externas'!K7</f>
        <v>8781</v>
      </c>
      <c r="L7" s="99">
        <f>+'Ventas externas'!L7</f>
        <v>10377</v>
      </c>
      <c r="M7" s="99">
        <f>+'Ventas externas'!M7*Sensibilidad!$D$50</f>
        <v>8377</v>
      </c>
      <c r="N7" s="99">
        <f>+'Ventas externas'!N7*Sensibilidad!$D$50</f>
        <v>8377</v>
      </c>
      <c r="O7" s="99">
        <f>+'Ventas externas'!O7*Sensibilidad!$D$50</f>
        <v>8877</v>
      </c>
      <c r="P7" s="99">
        <f>+'Ventas externas'!P7*Sensibilidad!$D$50</f>
        <v>9232.08</v>
      </c>
      <c r="Q7" s="99">
        <f>+'Ventas externas'!Q7*Sensibilidad!$D$50</f>
        <v>9601.3631999999998</v>
      </c>
      <c r="R7" s="99">
        <f>+'Ventas externas'!R7*Sensibilidad!$D$50</f>
        <v>9985.4177280000004</v>
      </c>
      <c r="S7" s="99">
        <f>+'Ventas externas'!S7*Sensibilidad!$D$50</f>
        <v>10384.83443712</v>
      </c>
      <c r="T7" s="99">
        <f>+'Ventas externas'!T7*Sensibilidad!$D$50</f>
        <v>10800.227814604801</v>
      </c>
      <c r="U7" s="99">
        <f>+'Ventas externas'!U7*Sensibilidad!$D$50</f>
        <v>11232.236927188993</v>
      </c>
      <c r="V7" s="99">
        <f>+'Ventas externas'!V7*Sensibilidad!$D$50</f>
        <v>11681.526404276554</v>
      </c>
      <c r="W7" s="99">
        <f>+'Ventas externas'!W7*Sensibilidad!$D$50</f>
        <v>12148.787460447616</v>
      </c>
      <c r="X7" s="99">
        <f>+'Ventas externas'!X7*Sensibilidad!$D$50</f>
        <v>12634.738958865522</v>
      </c>
      <c r="Y7" s="99">
        <f>+'Ventas externas'!Y7*Sensibilidad!$D$50</f>
        <v>13140.128517220144</v>
      </c>
      <c r="Z7" s="99">
        <f>+'Ventas externas'!Z7*Sensibilidad!$D$50</f>
        <v>13665.73365790895</v>
      </c>
      <c r="AA7" s="99">
        <f>+'Ventas externas'!AA7*Sensibilidad!$D$50</f>
        <v>14212.363004225308</v>
      </c>
      <c r="AB7" s="99">
        <f>+'Ventas externas'!AB7*Sensibilidad!$D$50</f>
        <v>14780.857524394321</v>
      </c>
      <c r="AC7" s="99">
        <f>+'Ventas externas'!AC7*Sensibilidad!$D$50</f>
        <v>15372.091825370095</v>
      </c>
      <c r="AD7" s="99">
        <f>+'Ventas externas'!AD7*Sensibilidad!$D$50</f>
        <v>15986.9754983849</v>
      </c>
      <c r="AE7" s="99">
        <f>+'Ventas externas'!AE7*Sensibilidad!$D$50</f>
        <v>16626.454518320297</v>
      </c>
      <c r="AF7" s="99">
        <f>+'Ventas externas'!AF7*Sensibilidad!$D$50</f>
        <v>17291.51269905311</v>
      </c>
    </row>
    <row r="8" spans="2:33" s="5" customFormat="1" hidden="1" outlineLevel="3">
      <c r="B8" s="160" t="s">
        <v>13</v>
      </c>
      <c r="C8" s="160"/>
      <c r="D8" s="160"/>
      <c r="E8" s="160"/>
      <c r="F8" s="160"/>
      <c r="G8" s="160"/>
      <c r="H8" s="91"/>
      <c r="I8" s="91"/>
      <c r="J8" s="99"/>
      <c r="K8" s="99">
        <f>+'Ventas externas'!K8</f>
        <v>8781</v>
      </c>
      <c r="L8" s="99">
        <f>+'Ventas externas'!L8</f>
        <v>10377</v>
      </c>
      <c r="M8" s="99">
        <f>+'Ventas externas'!M8*Sensibilidad!$D$50</f>
        <v>0</v>
      </c>
      <c r="N8" s="99">
        <f>+'Ventas externas'!N8*Sensibilidad!$D$50</f>
        <v>0</v>
      </c>
      <c r="O8" s="99">
        <f>+'Ventas externas'!O8*Sensibilidad!$D$50</f>
        <v>0</v>
      </c>
      <c r="P8" s="99">
        <f>+'Ventas externas'!P8*Sensibilidad!$D$50</f>
        <v>0</v>
      </c>
      <c r="Q8" s="99">
        <f>+'Ventas externas'!Q8*Sensibilidad!$D$50</f>
        <v>0</v>
      </c>
      <c r="R8" s="99">
        <f>+'Ventas externas'!R8*Sensibilidad!$D$50</f>
        <v>0</v>
      </c>
      <c r="S8" s="99">
        <f>+'Ventas externas'!S8*Sensibilidad!$D$50</f>
        <v>0</v>
      </c>
      <c r="T8" s="99">
        <f>+'Ventas externas'!T8*Sensibilidad!$D$50</f>
        <v>0</v>
      </c>
      <c r="U8" s="99">
        <f>+'Ventas externas'!U8*Sensibilidad!$D$50</f>
        <v>0</v>
      </c>
      <c r="V8" s="99">
        <f>+'Ventas externas'!V8*Sensibilidad!$D$50</f>
        <v>0</v>
      </c>
      <c r="W8" s="99">
        <f>+'Ventas externas'!W8*Sensibilidad!$D$50</f>
        <v>0</v>
      </c>
      <c r="X8" s="99">
        <f>+'Ventas externas'!X8*Sensibilidad!$D$50</f>
        <v>0</v>
      </c>
      <c r="Y8" s="99">
        <f>+'Ventas externas'!Y8*Sensibilidad!$D$50</f>
        <v>0</v>
      </c>
      <c r="Z8" s="99">
        <f>+'Ventas externas'!Z8*Sensibilidad!$D$50</f>
        <v>0</v>
      </c>
      <c r="AA8" s="99">
        <f>+'Ventas externas'!AA8*Sensibilidad!$D$50</f>
        <v>0</v>
      </c>
      <c r="AB8" s="99">
        <f>+'Ventas externas'!AB8*Sensibilidad!$D$50</f>
        <v>0</v>
      </c>
      <c r="AC8" s="99">
        <f>+'Ventas externas'!AC8*Sensibilidad!$D$50</f>
        <v>0</v>
      </c>
      <c r="AD8" s="99">
        <f>+'Ventas externas'!AD8*Sensibilidad!$D$50</f>
        <v>0</v>
      </c>
      <c r="AE8" s="99">
        <f>+'Ventas externas'!AE8*Sensibilidad!$D$50</f>
        <v>0</v>
      </c>
      <c r="AF8" s="99">
        <f>+'Ventas externas'!AF8*Sensibilidad!$D$50</f>
        <v>0</v>
      </c>
    </row>
    <row r="9" spans="2:33" s="5" customFormat="1" hidden="1" outlineLevel="3">
      <c r="B9" s="160" t="s">
        <v>14</v>
      </c>
      <c r="C9" s="160"/>
      <c r="D9" s="160"/>
      <c r="E9" s="160"/>
      <c r="F9" s="160"/>
      <c r="G9" s="160"/>
      <c r="H9" s="91"/>
      <c r="I9" s="91"/>
      <c r="J9" s="99"/>
      <c r="K9" s="99">
        <f>+'Ventas externas'!K9</f>
        <v>0</v>
      </c>
      <c r="L9" s="99">
        <f>+'Ventas externas'!L9</f>
        <v>0</v>
      </c>
      <c r="M9" s="99">
        <f>+'Ventas externas'!M9*Sensibilidad!$D$50</f>
        <v>8377</v>
      </c>
      <c r="N9" s="99">
        <f>+'Ventas externas'!N9*Sensibilidad!$D$50</f>
        <v>8377</v>
      </c>
      <c r="O9" s="99">
        <f>+'Ventas externas'!O9*Sensibilidad!$D$50</f>
        <v>8877</v>
      </c>
      <c r="P9" s="99">
        <f>+'Ventas externas'!P9*Sensibilidad!$D$50</f>
        <v>9232.08</v>
      </c>
      <c r="Q9" s="99">
        <f>+'Ventas externas'!Q9*Sensibilidad!$D$50</f>
        <v>9601.3631999999998</v>
      </c>
      <c r="R9" s="99">
        <f>+'Ventas externas'!R9*Sensibilidad!$D$50</f>
        <v>9985.4177280000004</v>
      </c>
      <c r="S9" s="99">
        <f>+'Ventas externas'!S9*Sensibilidad!$D$50</f>
        <v>10384.83443712</v>
      </c>
      <c r="T9" s="99">
        <f>+'Ventas externas'!T9*Sensibilidad!$D$50</f>
        <v>10800.227814604801</v>
      </c>
      <c r="U9" s="99">
        <f>+'Ventas externas'!U9*Sensibilidad!$D$50</f>
        <v>11232.236927188993</v>
      </c>
      <c r="V9" s="99">
        <f>+'Ventas externas'!V9*Sensibilidad!$D$50</f>
        <v>11681.526404276554</v>
      </c>
      <c r="W9" s="99">
        <f>+'Ventas externas'!W9*Sensibilidad!$D$50</f>
        <v>12148.787460447616</v>
      </c>
      <c r="X9" s="99">
        <f>+'Ventas externas'!X9*Sensibilidad!$D$50</f>
        <v>12634.738958865522</v>
      </c>
      <c r="Y9" s="99">
        <f>+'Ventas externas'!Y9*Sensibilidad!$D$50</f>
        <v>13140.128517220144</v>
      </c>
      <c r="Z9" s="99">
        <f>+'Ventas externas'!Z9*Sensibilidad!$D$50</f>
        <v>13665.73365790895</v>
      </c>
      <c r="AA9" s="99">
        <f>+'Ventas externas'!AA9*Sensibilidad!$D$50</f>
        <v>14212.363004225308</v>
      </c>
      <c r="AB9" s="99">
        <f>+'Ventas externas'!AB9*Sensibilidad!$D$50</f>
        <v>14780.857524394321</v>
      </c>
      <c r="AC9" s="99">
        <f>+'Ventas externas'!AC9*Sensibilidad!$D$50</f>
        <v>15372.091825370095</v>
      </c>
      <c r="AD9" s="99">
        <f>+'Ventas externas'!AD9*Sensibilidad!$D$50</f>
        <v>15986.9754983849</v>
      </c>
      <c r="AE9" s="99">
        <f>+'Ventas externas'!AE9*Sensibilidad!$D$50</f>
        <v>16626.454518320297</v>
      </c>
      <c r="AF9" s="99">
        <f>+'Ventas externas'!AF9*Sensibilidad!$D$50</f>
        <v>17291.51269905311</v>
      </c>
    </row>
    <row r="10" spans="2:33" s="5" customFormat="1" hidden="1" outlineLevel="2" collapsed="1">
      <c r="B10" s="159" t="s">
        <v>6</v>
      </c>
      <c r="C10" s="159"/>
      <c r="D10" s="159"/>
      <c r="E10" s="159"/>
      <c r="F10" s="159"/>
      <c r="G10" s="159"/>
      <c r="H10" s="91"/>
      <c r="I10" s="91"/>
      <c r="J10" s="99"/>
      <c r="K10" s="99">
        <f>+'Ventas externas'!K10</f>
        <v>186177</v>
      </c>
      <c r="L10" s="99">
        <f>+'Ventas externas'!L10</f>
        <v>130000</v>
      </c>
      <c r="M10" s="99">
        <f>+'Ventas externas'!M10*Sensibilidad!$D$50</f>
        <v>100000</v>
      </c>
      <c r="N10" s="99">
        <f>+'Ventas externas'!N10*Sensibilidad!$D$50</f>
        <v>140000</v>
      </c>
      <c r="O10" s="99">
        <f>+'Ventas externas'!O10*Sensibilidad!$D$50</f>
        <v>170000</v>
      </c>
      <c r="P10" s="99">
        <f>+'Ventas externas'!P10*Sensibilidad!$D$50</f>
        <v>235000</v>
      </c>
      <c r="Q10" s="99">
        <f>+'Ventas externas'!Q10*Sensibilidad!$D$50</f>
        <v>300940</v>
      </c>
      <c r="R10" s="99">
        <f>+'Ventas externas'!R10*Sensibilidad!$D$50</f>
        <v>322992.88320000004</v>
      </c>
      <c r="S10" s="99">
        <f>+'Ventas externas'!S10*Sensibilidad!$D$50</f>
        <v>346661.80168089608</v>
      </c>
      <c r="T10" s="99">
        <f>+'Ventas externas'!T10*Sensibilidad!$D$50</f>
        <v>372065.17850807222</v>
      </c>
      <c r="U10" s="99">
        <f>+'Ventas externas'!U10*Sensibilidad!$D$50</f>
        <v>399330.11478914373</v>
      </c>
      <c r="V10" s="99">
        <f>+'Ventas externas'!V10*Sensibilidad!$D$50</f>
        <v>428593.0256008922</v>
      </c>
      <c r="W10" s="99">
        <f>+'Ventas externas'!W10*Sensibilidad!$D$50</f>
        <v>450194.11409117718</v>
      </c>
      <c r="X10" s="99">
        <f>+'Ventas externas'!X10*Sensibilidad!$D$50</f>
        <v>483184.33877177862</v>
      </c>
      <c r="Y10" s="99">
        <f>+'Ventas externas'!Y10*Sensibilidad!$D$50</f>
        <v>518592.08711697464</v>
      </c>
      <c r="Z10" s="99">
        <f>+'Ventas externas'!Z10*Sensibilidad!$D$50</f>
        <v>556594.51526090666</v>
      </c>
      <c r="AA10" s="99">
        <f>+'Ventas externas'!AA10*Sensibilidad!$D$50</f>
        <v>597381.76133922592</v>
      </c>
      <c r="AB10" s="99">
        <f>+'Ventas externas'!AB10*Sensibilidad!$D$50</f>
        <v>641157.89681016444</v>
      </c>
      <c r="AC10" s="99">
        <f>+'Ventas externas'!AC10*Sensibilidad!$D$50</f>
        <v>673472.25480939681</v>
      </c>
      <c r="AD10" s="99">
        <f>+'Ventas externas'!AD10*Sensibilidad!$D$50</f>
        <v>722824.30164182943</v>
      </c>
      <c r="AE10" s="99">
        <f>+'Ventas externas'!AE10*Sensibilidad!$D$50</f>
        <v>775792.86646614282</v>
      </c>
      <c r="AF10" s="99">
        <f>+'Ventas externas'!AF10*Sensibilidad!$D$50</f>
        <v>832642.96772078192</v>
      </c>
    </row>
    <row r="11" spans="2:33" s="5" customFormat="1" hidden="1" outlineLevel="3">
      <c r="B11" s="160" t="s">
        <v>13</v>
      </c>
      <c r="C11" s="160"/>
      <c r="D11" s="160"/>
      <c r="E11" s="160"/>
      <c r="F11" s="160"/>
      <c r="G11" s="160"/>
      <c r="H11" s="91"/>
      <c r="I11" s="91"/>
      <c r="J11" s="99"/>
      <c r="K11" s="99">
        <f>+'Ventas externas'!K11</f>
        <v>186177</v>
      </c>
      <c r="L11" s="99">
        <f>+'Ventas externas'!L11</f>
        <v>130000</v>
      </c>
      <c r="M11" s="99">
        <f>+'Ventas externas'!M11*Sensibilidad!$D$50</f>
        <v>89000</v>
      </c>
      <c r="N11" s="99">
        <f>+'Ventas externas'!N11*Sensibilidad!$D$50</f>
        <v>0</v>
      </c>
      <c r="O11" s="99">
        <f>+'Ventas externas'!O11*Sensibilidad!$D$50</f>
        <v>0</v>
      </c>
      <c r="P11" s="99">
        <f>+'Ventas externas'!P11*Sensibilidad!$D$50</f>
        <v>0</v>
      </c>
      <c r="Q11" s="99">
        <f>+'Ventas externas'!Q11*Sensibilidad!$D$50</f>
        <v>0</v>
      </c>
      <c r="R11" s="99">
        <f>+'Ventas externas'!R11*Sensibilidad!$D$50</f>
        <v>0</v>
      </c>
      <c r="S11" s="99">
        <f>+'Ventas externas'!S11*Sensibilidad!$D$50</f>
        <v>0</v>
      </c>
      <c r="T11" s="99">
        <f>+'Ventas externas'!T11*Sensibilidad!$D$50</f>
        <v>0</v>
      </c>
      <c r="U11" s="99">
        <f>+'Ventas externas'!U11*Sensibilidad!$D$50</f>
        <v>0</v>
      </c>
      <c r="V11" s="99">
        <f>+'Ventas externas'!V11*Sensibilidad!$D$50</f>
        <v>0</v>
      </c>
      <c r="W11" s="99">
        <f>+'Ventas externas'!W11*Sensibilidad!$D$50</f>
        <v>0</v>
      </c>
      <c r="X11" s="99">
        <f>+'Ventas externas'!X11*Sensibilidad!$D$50</f>
        <v>0</v>
      </c>
      <c r="Y11" s="99">
        <f>+'Ventas externas'!Y11*Sensibilidad!$D$50</f>
        <v>0</v>
      </c>
      <c r="Z11" s="99">
        <f>+'Ventas externas'!Z11*Sensibilidad!$D$50</f>
        <v>0</v>
      </c>
      <c r="AA11" s="99">
        <f>+'Ventas externas'!AA11*Sensibilidad!$D$50</f>
        <v>0</v>
      </c>
      <c r="AB11" s="99">
        <f>+'Ventas externas'!AB11*Sensibilidad!$D$50</f>
        <v>0</v>
      </c>
      <c r="AC11" s="99">
        <f>+'Ventas externas'!AC11*Sensibilidad!$D$50</f>
        <v>0</v>
      </c>
      <c r="AD11" s="99">
        <f>+'Ventas externas'!AD11*Sensibilidad!$D$50</f>
        <v>0</v>
      </c>
      <c r="AE11" s="99">
        <f>+'Ventas externas'!AE11*Sensibilidad!$D$50</f>
        <v>0</v>
      </c>
      <c r="AF11" s="99">
        <f>+'Ventas externas'!AF11*Sensibilidad!$D$50</f>
        <v>0</v>
      </c>
    </row>
    <row r="12" spans="2:33" s="5" customFormat="1" hidden="1" outlineLevel="3">
      <c r="B12" s="160" t="s">
        <v>14</v>
      </c>
      <c r="C12" s="160"/>
      <c r="D12" s="160"/>
      <c r="E12" s="160"/>
      <c r="F12" s="160"/>
      <c r="G12" s="160"/>
      <c r="H12" s="91"/>
      <c r="I12" s="91"/>
      <c r="J12" s="99"/>
      <c r="K12" s="99">
        <f>+'Ventas externas'!K12</f>
        <v>0</v>
      </c>
      <c r="L12" s="99">
        <f>+'Ventas externas'!L12</f>
        <v>0</v>
      </c>
      <c r="M12" s="99">
        <f>+'Ventas externas'!M12*Sensibilidad!$D$50</f>
        <v>11000</v>
      </c>
      <c r="N12" s="99">
        <f>+'Ventas externas'!N12*Sensibilidad!$D$50</f>
        <v>140000</v>
      </c>
      <c r="O12" s="99">
        <f>+'Ventas externas'!O12*Sensibilidad!$D$50</f>
        <v>170000</v>
      </c>
      <c r="P12" s="99">
        <f>+'Ventas externas'!P12*Sensibilidad!$D$50</f>
        <v>235000</v>
      </c>
      <c r="Q12" s="99">
        <f>+'Ventas externas'!Q12*Sensibilidad!$D$50</f>
        <v>300940</v>
      </c>
      <c r="R12" s="99">
        <f>+'Ventas externas'!R12*Sensibilidad!$D$50</f>
        <v>322992.88320000004</v>
      </c>
      <c r="S12" s="99">
        <f>+'Ventas externas'!S12*Sensibilidad!$D$50</f>
        <v>346661.80168089608</v>
      </c>
      <c r="T12" s="99">
        <f>+'Ventas externas'!T12*Sensibilidad!$D$50</f>
        <v>372065.17850807222</v>
      </c>
      <c r="U12" s="99">
        <f>+'Ventas externas'!U12*Sensibilidad!$D$50</f>
        <v>399330.11478914373</v>
      </c>
      <c r="V12" s="99">
        <f>+'Ventas externas'!V12*Sensibilidad!$D$50</f>
        <v>428593.0256008922</v>
      </c>
      <c r="W12" s="99">
        <f>+'Ventas externas'!W12*Sensibilidad!$D$50</f>
        <v>450194.11409117718</v>
      </c>
      <c r="X12" s="99">
        <f>+'Ventas externas'!X12*Sensibilidad!$D$50</f>
        <v>483184.33877177862</v>
      </c>
      <c r="Y12" s="99">
        <f>+'Ventas externas'!Y12*Sensibilidad!$D$50</f>
        <v>518592.08711697464</v>
      </c>
      <c r="Z12" s="99">
        <f>+'Ventas externas'!Z12*Sensibilidad!$D$50</f>
        <v>556594.51526090666</v>
      </c>
      <c r="AA12" s="99">
        <f>+'Ventas externas'!AA12*Sensibilidad!$D$50</f>
        <v>597381.76133922592</v>
      </c>
      <c r="AB12" s="99">
        <f>+'Ventas externas'!AB12*Sensibilidad!$D$50</f>
        <v>641157.89681016444</v>
      </c>
      <c r="AC12" s="99">
        <f>+'Ventas externas'!AC12*Sensibilidad!$D$50</f>
        <v>673472.25480939681</v>
      </c>
      <c r="AD12" s="99">
        <f>+'Ventas externas'!AD12*Sensibilidad!$D$50</f>
        <v>722824.30164182943</v>
      </c>
      <c r="AE12" s="99">
        <f>+'Ventas externas'!AE12*Sensibilidad!$D$50</f>
        <v>775792.86646614282</v>
      </c>
      <c r="AF12" s="99">
        <f>+'Ventas externas'!AF12*Sensibilidad!$D$50</f>
        <v>832642.96772078192</v>
      </c>
    </row>
    <row r="13" spans="2:33" s="5" customFormat="1" hidden="1" outlineLevel="2" collapsed="1">
      <c r="B13" s="159" t="s">
        <v>8</v>
      </c>
      <c r="C13" s="159"/>
      <c r="D13" s="159"/>
      <c r="E13" s="159"/>
      <c r="F13" s="159"/>
      <c r="G13" s="159"/>
      <c r="H13" s="91"/>
      <c r="I13" s="91"/>
      <c r="J13" s="99"/>
      <c r="K13" s="99">
        <f>+'Ventas externas'!K13</f>
        <v>4126</v>
      </c>
      <c r="L13" s="99">
        <f>+'Ventas externas'!L13</f>
        <v>4256</v>
      </c>
      <c r="M13" s="99">
        <f>+'Ventas externas'!M13*Sensibilidad!$D$50</f>
        <v>4256</v>
      </c>
      <c r="N13" s="99">
        <f>+'Ventas externas'!N13*Sensibilidad!$D$50</f>
        <v>4426.24</v>
      </c>
      <c r="O13" s="99">
        <f>+'Ventas externas'!O13*Sensibilidad!$D$50</f>
        <v>4603.2896000000001</v>
      </c>
      <c r="P13" s="99">
        <f>+'Ventas externas'!P13*Sensibilidad!$D$50</f>
        <v>4787.4211839999998</v>
      </c>
      <c r="Q13" s="99">
        <f>+'Ventas externas'!Q13*Sensibilidad!$D$50</f>
        <v>4978.91803136</v>
      </c>
      <c r="R13" s="99">
        <f>+'Ventas externas'!R13*Sensibilidad!$D$50</f>
        <v>5178.0747526144005</v>
      </c>
      <c r="S13" s="99">
        <f>+'Ventas externas'!S13*Sensibilidad!$D$50</f>
        <v>5385.1977427189768</v>
      </c>
      <c r="T13" s="99">
        <f>+'Ventas externas'!T13*Sensibilidad!$D$50</f>
        <v>5600.6056524277365</v>
      </c>
      <c r="U13" s="99">
        <f>+'Ventas externas'!U13*Sensibilidad!$D$50</f>
        <v>5824.6298785248464</v>
      </c>
      <c r="V13" s="99">
        <f>+'Ventas externas'!V13*Sensibilidad!$D$50</f>
        <v>6057.6150736658401</v>
      </c>
      <c r="W13" s="99">
        <f>+'Ventas externas'!W13*Sensibilidad!$D$50</f>
        <v>6299.9196766124742</v>
      </c>
      <c r="X13" s="99">
        <f>+'Ventas externas'!X13*Sensibilidad!$D$50</f>
        <v>6551.9164636769738</v>
      </c>
      <c r="Y13" s="99">
        <f>+'Ventas externas'!Y13*Sensibilidad!$D$50</f>
        <v>6813.993122224053</v>
      </c>
      <c r="Z13" s="99">
        <f>+'Ventas externas'!Z13*Sensibilidad!$D$50</f>
        <v>7086.5528471130156</v>
      </c>
      <c r="AA13" s="99">
        <f>+'Ventas externas'!AA13*Sensibilidad!$D$50</f>
        <v>7370.014960997536</v>
      </c>
      <c r="AB13" s="99">
        <f>+'Ventas externas'!AB13*Sensibilidad!$D$50</f>
        <v>7664.8155594374375</v>
      </c>
      <c r="AC13" s="99">
        <f>+'Ventas externas'!AC13*Sensibilidad!$D$50</f>
        <v>7971.4081818149352</v>
      </c>
      <c r="AD13" s="99">
        <f>+'Ventas externas'!AD13*Sensibilidad!$D$50</f>
        <v>8290.2645090875321</v>
      </c>
      <c r="AE13" s="99">
        <f>+'Ventas externas'!AE13*Sensibilidad!$D$50</f>
        <v>8621.875089451034</v>
      </c>
      <c r="AF13" s="99">
        <f>+'Ventas externas'!AF13*Sensibilidad!$D$50</f>
        <v>8966.7500930290753</v>
      </c>
    </row>
    <row r="14" spans="2:33" s="5" customFormat="1" hidden="1" outlineLevel="3">
      <c r="B14" s="160" t="s">
        <v>13</v>
      </c>
      <c r="C14" s="160"/>
      <c r="D14" s="160"/>
      <c r="E14" s="160"/>
      <c r="F14" s="160"/>
      <c r="G14" s="160"/>
      <c r="H14" s="91"/>
      <c r="I14" s="91"/>
      <c r="J14" s="99"/>
      <c r="K14" s="99">
        <f>+'Ventas externas'!K14</f>
        <v>4126</v>
      </c>
      <c r="L14" s="99">
        <f>+'Ventas externas'!L14</f>
        <v>4256</v>
      </c>
      <c r="M14" s="99">
        <f>+'Ventas externas'!M14*Sensibilidad!$D$50</f>
        <v>0</v>
      </c>
      <c r="N14" s="99">
        <f>+'Ventas externas'!N14*Sensibilidad!$D$50</f>
        <v>0</v>
      </c>
      <c r="O14" s="99">
        <f>+'Ventas externas'!O14*Sensibilidad!$D$50</f>
        <v>0</v>
      </c>
      <c r="P14" s="99">
        <f>+'Ventas externas'!P14*Sensibilidad!$D$50</f>
        <v>0</v>
      </c>
      <c r="Q14" s="99">
        <f>+'Ventas externas'!Q14*Sensibilidad!$D$50</f>
        <v>0</v>
      </c>
      <c r="R14" s="99">
        <f>+'Ventas externas'!R14*Sensibilidad!$D$50</f>
        <v>0</v>
      </c>
      <c r="S14" s="99">
        <f>+'Ventas externas'!S14*Sensibilidad!$D$50</f>
        <v>0</v>
      </c>
      <c r="T14" s="99">
        <f>+'Ventas externas'!T14*Sensibilidad!$D$50</f>
        <v>0</v>
      </c>
      <c r="U14" s="99">
        <f>+'Ventas externas'!U14*Sensibilidad!$D$50</f>
        <v>0</v>
      </c>
      <c r="V14" s="99">
        <f>+'Ventas externas'!V14*Sensibilidad!$D$50</f>
        <v>0</v>
      </c>
      <c r="W14" s="99">
        <f>+'Ventas externas'!W14*Sensibilidad!$D$50</f>
        <v>0</v>
      </c>
      <c r="X14" s="99">
        <f>+'Ventas externas'!X14*Sensibilidad!$D$50</f>
        <v>0</v>
      </c>
      <c r="Y14" s="99">
        <f>+'Ventas externas'!Y14*Sensibilidad!$D$50</f>
        <v>0</v>
      </c>
      <c r="Z14" s="99">
        <f>+'Ventas externas'!Z14*Sensibilidad!$D$50</f>
        <v>0</v>
      </c>
      <c r="AA14" s="99">
        <f>+'Ventas externas'!AA14*Sensibilidad!$D$50</f>
        <v>0</v>
      </c>
      <c r="AB14" s="99">
        <f>+'Ventas externas'!AB14*Sensibilidad!$D$50</f>
        <v>0</v>
      </c>
      <c r="AC14" s="99">
        <f>+'Ventas externas'!AC14*Sensibilidad!$D$50</f>
        <v>0</v>
      </c>
      <c r="AD14" s="99">
        <f>+'Ventas externas'!AD14*Sensibilidad!$D$50</f>
        <v>0</v>
      </c>
      <c r="AE14" s="99">
        <f>+'Ventas externas'!AE14*Sensibilidad!$D$50</f>
        <v>0</v>
      </c>
      <c r="AF14" s="99">
        <f>+'Ventas externas'!AF14*Sensibilidad!$D$50</f>
        <v>0</v>
      </c>
    </row>
    <row r="15" spans="2:33" s="5" customFormat="1" hidden="1" outlineLevel="3">
      <c r="B15" s="160" t="s">
        <v>14</v>
      </c>
      <c r="C15" s="160"/>
      <c r="D15" s="160"/>
      <c r="E15" s="160"/>
      <c r="F15" s="160"/>
      <c r="G15" s="160"/>
      <c r="H15" s="91"/>
      <c r="I15" s="91"/>
      <c r="J15" s="99"/>
      <c r="K15" s="99">
        <f>+'Ventas externas'!K15</f>
        <v>0</v>
      </c>
      <c r="L15" s="99">
        <f>+'Ventas externas'!L15</f>
        <v>0</v>
      </c>
      <c r="M15" s="99">
        <f>+'Ventas externas'!M15*Sensibilidad!$D$50</f>
        <v>4256</v>
      </c>
      <c r="N15" s="99">
        <f>+'Ventas externas'!N15*Sensibilidad!$D$50</f>
        <v>4426.24</v>
      </c>
      <c r="O15" s="99">
        <f>+'Ventas externas'!O15*Sensibilidad!$D$50</f>
        <v>4603.2896000000001</v>
      </c>
      <c r="P15" s="99">
        <f>+'Ventas externas'!P15*Sensibilidad!$D$50</f>
        <v>4787.4211839999998</v>
      </c>
      <c r="Q15" s="99">
        <f>+'Ventas externas'!Q15*Sensibilidad!$D$50</f>
        <v>4978.91803136</v>
      </c>
      <c r="R15" s="99">
        <f>+'Ventas externas'!R15*Sensibilidad!$D$50</f>
        <v>5178.0747526144005</v>
      </c>
      <c r="S15" s="99">
        <f>+'Ventas externas'!S15*Sensibilidad!$D$50</f>
        <v>5385.1977427189768</v>
      </c>
      <c r="T15" s="99">
        <f>+'Ventas externas'!T15*Sensibilidad!$D$50</f>
        <v>5600.6056524277365</v>
      </c>
      <c r="U15" s="99">
        <f>+'Ventas externas'!U15*Sensibilidad!$D$50</f>
        <v>5824.6298785248464</v>
      </c>
      <c r="V15" s="99">
        <f>+'Ventas externas'!V15*Sensibilidad!$D$50</f>
        <v>6057.6150736658401</v>
      </c>
      <c r="W15" s="99">
        <f>+'Ventas externas'!W15*Sensibilidad!$D$50</f>
        <v>6299.9196766124742</v>
      </c>
      <c r="X15" s="99">
        <f>+'Ventas externas'!X15*Sensibilidad!$D$50</f>
        <v>6551.9164636769738</v>
      </c>
      <c r="Y15" s="99">
        <f>+'Ventas externas'!Y15*Sensibilidad!$D$50</f>
        <v>6813.993122224053</v>
      </c>
      <c r="Z15" s="99">
        <f>+'Ventas externas'!Z15*Sensibilidad!$D$50</f>
        <v>7086.5528471130156</v>
      </c>
      <c r="AA15" s="99">
        <f>+'Ventas externas'!AA15*Sensibilidad!$D$50</f>
        <v>7370.014960997536</v>
      </c>
      <c r="AB15" s="99">
        <f>+'Ventas externas'!AB15*Sensibilidad!$D$50</f>
        <v>7664.8155594374375</v>
      </c>
      <c r="AC15" s="99">
        <f>+'Ventas externas'!AC15*Sensibilidad!$D$50</f>
        <v>7971.4081818149352</v>
      </c>
      <c r="AD15" s="99">
        <f>+'Ventas externas'!AD15*Sensibilidad!$D$50</f>
        <v>8290.2645090875321</v>
      </c>
      <c r="AE15" s="99">
        <f>+'Ventas externas'!AE15*Sensibilidad!$D$50</f>
        <v>8621.875089451034</v>
      </c>
      <c r="AF15" s="99">
        <f>+'Ventas externas'!AF15*Sensibilidad!$D$50</f>
        <v>8966.7500930290753</v>
      </c>
    </row>
    <row r="16" spans="2:33" s="5" customFormat="1" hidden="1" outlineLevel="2" collapsed="1">
      <c r="B16" s="159" t="s">
        <v>9</v>
      </c>
      <c r="C16" s="159"/>
      <c r="D16" s="159"/>
      <c r="E16" s="159"/>
      <c r="F16" s="159"/>
      <c r="G16" s="159"/>
      <c r="H16" s="91"/>
      <c r="I16" s="91"/>
      <c r="J16" s="99"/>
      <c r="K16" s="99">
        <f>+'Ventas externas'!K16</f>
        <v>3334</v>
      </c>
      <c r="L16" s="99">
        <f>+'Ventas externas'!L16</f>
        <v>4000</v>
      </c>
      <c r="M16" s="99">
        <f>+'Ventas externas'!M16*Sensibilidad!$D$50</f>
        <v>2611</v>
      </c>
      <c r="N16" s="99">
        <f>+'Ventas externas'!N16*Sensibilidad!$D$50</f>
        <v>3611</v>
      </c>
      <c r="O16" s="99">
        <f>+'Ventas externas'!O16*Sensibilidad!$D$50</f>
        <v>3755.44</v>
      </c>
      <c r="P16" s="99">
        <f>+'Ventas externas'!P16*Sensibilidad!$D$50</f>
        <v>3905.6576</v>
      </c>
      <c r="Q16" s="99">
        <f>+'Ventas externas'!Q16*Sensibilidad!$D$50</f>
        <v>0</v>
      </c>
      <c r="R16" s="99">
        <f>+'Ventas externas'!R16*Sensibilidad!$D$50</f>
        <v>0</v>
      </c>
      <c r="S16" s="99">
        <f>+'Ventas externas'!S16*Sensibilidad!$D$50</f>
        <v>0</v>
      </c>
      <c r="T16" s="99">
        <f>+'Ventas externas'!T16*Sensibilidad!$D$50</f>
        <v>0</v>
      </c>
      <c r="U16" s="99">
        <f>+'Ventas externas'!U16*Sensibilidad!$D$50</f>
        <v>0</v>
      </c>
      <c r="V16" s="99">
        <f>+'Ventas externas'!V16*Sensibilidad!$D$50</f>
        <v>0</v>
      </c>
      <c r="W16" s="99">
        <f>+'Ventas externas'!W16*Sensibilidad!$D$50</f>
        <v>0</v>
      </c>
      <c r="X16" s="99">
        <f>+'Ventas externas'!X16*Sensibilidad!$D$50</f>
        <v>0</v>
      </c>
      <c r="Y16" s="99">
        <f>+'Ventas externas'!Y16*Sensibilidad!$D$50</f>
        <v>0</v>
      </c>
      <c r="Z16" s="99">
        <f>+'Ventas externas'!Z16*Sensibilidad!$D$50</f>
        <v>0</v>
      </c>
      <c r="AA16" s="99">
        <f>+'Ventas externas'!AA16*Sensibilidad!$D$50</f>
        <v>0</v>
      </c>
      <c r="AB16" s="99">
        <f>+'Ventas externas'!AB16*Sensibilidad!$D$50</f>
        <v>0</v>
      </c>
      <c r="AC16" s="99">
        <f>+'Ventas externas'!AC16*Sensibilidad!$D$50</f>
        <v>0</v>
      </c>
      <c r="AD16" s="99">
        <f>+'Ventas externas'!AD16*Sensibilidad!$D$50</f>
        <v>0</v>
      </c>
      <c r="AE16" s="99">
        <f>+'Ventas externas'!AE16*Sensibilidad!$D$50</f>
        <v>0</v>
      </c>
      <c r="AF16" s="99">
        <f>+'Ventas externas'!AF16*Sensibilidad!$D$50</f>
        <v>0</v>
      </c>
    </row>
    <row r="17" spans="2:32" s="5" customFormat="1" hidden="1" outlineLevel="3">
      <c r="B17" s="160" t="s">
        <v>13</v>
      </c>
      <c r="C17" s="160"/>
      <c r="D17" s="160"/>
      <c r="E17" s="160"/>
      <c r="F17" s="160"/>
      <c r="G17" s="160"/>
      <c r="H17" s="91"/>
      <c r="I17" s="91"/>
      <c r="J17" s="99"/>
      <c r="K17" s="99">
        <f>+'Ventas externas'!K17</f>
        <v>3334</v>
      </c>
      <c r="L17" s="99">
        <f>+'Ventas externas'!L17</f>
        <v>4000</v>
      </c>
      <c r="M17" s="99">
        <f>+'Ventas externas'!M17*Sensibilidad!$D$50</f>
        <v>2611</v>
      </c>
      <c r="N17" s="99">
        <f>+'Ventas externas'!N17*Sensibilidad!$D$50</f>
        <v>3611</v>
      </c>
      <c r="O17" s="99">
        <f>+'Ventas externas'!O17*Sensibilidad!$D$50</f>
        <v>3755.44</v>
      </c>
      <c r="P17" s="99">
        <f>+'Ventas externas'!P17*Sensibilidad!$D$50</f>
        <v>3905.6576</v>
      </c>
      <c r="Q17" s="99">
        <f>+'Ventas externas'!Q17*Sensibilidad!$D$50</f>
        <v>0</v>
      </c>
      <c r="R17" s="99">
        <f>+'Ventas externas'!R17*Sensibilidad!$D$50</f>
        <v>0</v>
      </c>
      <c r="S17" s="99">
        <f>+'Ventas externas'!S17*Sensibilidad!$D$50</f>
        <v>0</v>
      </c>
      <c r="T17" s="99">
        <f>+'Ventas externas'!T17*Sensibilidad!$D$50</f>
        <v>0</v>
      </c>
      <c r="U17" s="99">
        <f>+'Ventas externas'!U17*Sensibilidad!$D$50</f>
        <v>0</v>
      </c>
      <c r="V17" s="99">
        <f>+'Ventas externas'!V17*Sensibilidad!$D$50</f>
        <v>0</v>
      </c>
      <c r="W17" s="99">
        <f>+'Ventas externas'!W17*Sensibilidad!$D$50</f>
        <v>0</v>
      </c>
      <c r="X17" s="99">
        <f>+'Ventas externas'!X17*Sensibilidad!$D$50</f>
        <v>0</v>
      </c>
      <c r="Y17" s="99">
        <f>+'Ventas externas'!Y17*Sensibilidad!$D$50</f>
        <v>0</v>
      </c>
      <c r="Z17" s="99">
        <f>+'Ventas externas'!Z17*Sensibilidad!$D$50</f>
        <v>0</v>
      </c>
      <c r="AA17" s="99">
        <f>+'Ventas externas'!AA17*Sensibilidad!$D$50</f>
        <v>0</v>
      </c>
      <c r="AB17" s="99">
        <f>+'Ventas externas'!AB17*Sensibilidad!$D$50</f>
        <v>0</v>
      </c>
      <c r="AC17" s="99">
        <f>+'Ventas externas'!AC17*Sensibilidad!$D$50</f>
        <v>0</v>
      </c>
      <c r="AD17" s="99">
        <f>+'Ventas externas'!AD17*Sensibilidad!$D$50</f>
        <v>0</v>
      </c>
      <c r="AE17" s="99">
        <f>+'Ventas externas'!AE17*Sensibilidad!$D$50</f>
        <v>0</v>
      </c>
      <c r="AF17" s="99">
        <f>+'Ventas externas'!AF17*Sensibilidad!$D$50</f>
        <v>0</v>
      </c>
    </row>
    <row r="18" spans="2:32" s="5" customFormat="1" hidden="1" outlineLevel="3">
      <c r="B18" s="160" t="s">
        <v>14</v>
      </c>
      <c r="C18" s="160"/>
      <c r="D18" s="160"/>
      <c r="E18" s="160"/>
      <c r="F18" s="160"/>
      <c r="G18" s="160"/>
      <c r="H18" s="91"/>
      <c r="I18" s="91"/>
      <c r="J18" s="99"/>
      <c r="K18" s="99">
        <f>+'Ventas externas'!K18</f>
        <v>0</v>
      </c>
      <c r="L18" s="99">
        <f>+'Ventas externas'!L18</f>
        <v>0</v>
      </c>
      <c r="M18" s="99">
        <f>+'Ventas externas'!M18</f>
        <v>0</v>
      </c>
      <c r="N18" s="99">
        <f>+'Ventas externas'!N18</f>
        <v>0</v>
      </c>
      <c r="O18" s="99">
        <f>+'Ventas externas'!O18</f>
        <v>0</v>
      </c>
      <c r="P18" s="99">
        <f>+'Ventas externas'!P18</f>
        <v>0</v>
      </c>
      <c r="Q18" s="99">
        <f>+'Ventas externas'!Q18</f>
        <v>0</v>
      </c>
      <c r="R18" s="99">
        <f>+'Ventas externas'!R18</f>
        <v>0</v>
      </c>
      <c r="S18" s="99">
        <f>+'Ventas externas'!S18</f>
        <v>0</v>
      </c>
      <c r="T18" s="99">
        <f>+'Ventas externas'!T18</f>
        <v>0</v>
      </c>
      <c r="U18" s="99">
        <f>+'Ventas externas'!U18</f>
        <v>0</v>
      </c>
      <c r="V18" s="99">
        <f>+'Ventas externas'!V18</f>
        <v>0</v>
      </c>
      <c r="W18" s="99">
        <f>+'Ventas externas'!W18</f>
        <v>0</v>
      </c>
      <c r="X18" s="99">
        <f>+'Ventas externas'!X18</f>
        <v>0</v>
      </c>
      <c r="Y18" s="99">
        <f>+'Ventas externas'!Y18</f>
        <v>0</v>
      </c>
      <c r="Z18" s="99">
        <f>+'Ventas externas'!Z18</f>
        <v>0</v>
      </c>
      <c r="AA18" s="99">
        <f>+'Ventas externas'!AA18</f>
        <v>0</v>
      </c>
      <c r="AB18" s="99">
        <f>+'Ventas externas'!AB18</f>
        <v>0</v>
      </c>
      <c r="AC18" s="99">
        <f>+'Ventas externas'!AC18</f>
        <v>0</v>
      </c>
      <c r="AD18" s="99">
        <f>+'Ventas externas'!AD18</f>
        <v>0</v>
      </c>
      <c r="AE18" s="99">
        <f>+'Ventas externas'!AE18</f>
        <v>0</v>
      </c>
      <c r="AF18" s="99">
        <f>+'Ventas externas'!AF18</f>
        <v>0</v>
      </c>
    </row>
    <row r="19" spans="2:32" s="5" customFormat="1" hidden="1" outlineLevel="2" collapsed="1">
      <c r="B19" s="159" t="s">
        <v>25</v>
      </c>
      <c r="C19" s="159"/>
      <c r="D19" s="159"/>
      <c r="E19" s="159"/>
      <c r="F19" s="159"/>
      <c r="G19" s="159"/>
      <c r="H19" s="91"/>
      <c r="I19" s="91"/>
      <c r="J19" s="99"/>
      <c r="K19" s="99">
        <f>+'Ventas externas'!K19</f>
        <v>3115</v>
      </c>
      <c r="L19" s="99">
        <f>+'Ventas externas'!L19</f>
        <v>0</v>
      </c>
      <c r="M19" s="99">
        <f>+'Ventas externas'!M19</f>
        <v>0</v>
      </c>
      <c r="N19" s="99">
        <f>+'Ventas externas'!N19</f>
        <v>0</v>
      </c>
      <c r="O19" s="99">
        <f>+'Ventas externas'!O19</f>
        <v>0</v>
      </c>
      <c r="P19" s="99">
        <f>+'Ventas externas'!P19</f>
        <v>0</v>
      </c>
      <c r="Q19" s="99">
        <f>+'Ventas externas'!Q19</f>
        <v>0</v>
      </c>
      <c r="R19" s="99">
        <f>+'Ventas externas'!R19</f>
        <v>0</v>
      </c>
      <c r="S19" s="99">
        <f>+'Ventas externas'!S19</f>
        <v>0</v>
      </c>
      <c r="T19" s="99">
        <f>+'Ventas externas'!T19</f>
        <v>0</v>
      </c>
      <c r="U19" s="99">
        <f>+'Ventas externas'!U19</f>
        <v>0</v>
      </c>
      <c r="V19" s="99">
        <f>+'Ventas externas'!V19</f>
        <v>0</v>
      </c>
      <c r="W19" s="99">
        <f>+'Ventas externas'!W19</f>
        <v>0</v>
      </c>
      <c r="X19" s="99">
        <f>+'Ventas externas'!X19</f>
        <v>0</v>
      </c>
      <c r="Y19" s="99">
        <f>+'Ventas externas'!Y19</f>
        <v>0</v>
      </c>
      <c r="Z19" s="99">
        <f>+'Ventas externas'!Z19</f>
        <v>0</v>
      </c>
      <c r="AA19" s="99">
        <f>+'Ventas externas'!AA19</f>
        <v>0</v>
      </c>
      <c r="AB19" s="99">
        <f>+'Ventas externas'!AB19</f>
        <v>0</v>
      </c>
      <c r="AC19" s="99">
        <f>+'Ventas externas'!AC19</f>
        <v>0</v>
      </c>
      <c r="AD19" s="99">
        <f>+'Ventas externas'!AD19</f>
        <v>0</v>
      </c>
      <c r="AE19" s="99">
        <f>+'Ventas externas'!AE19</f>
        <v>0</v>
      </c>
      <c r="AF19" s="99">
        <f>+'Ventas externas'!AF19</f>
        <v>0</v>
      </c>
    </row>
    <row r="20" spans="2:32" s="5" customFormat="1" hidden="1" outlineLevel="2">
      <c r="B20" s="159" t="s">
        <v>39</v>
      </c>
      <c r="C20" s="159"/>
      <c r="D20" s="159"/>
      <c r="E20" s="159"/>
      <c r="F20" s="159"/>
      <c r="G20" s="159"/>
      <c r="H20" s="91"/>
      <c r="I20" s="91"/>
      <c r="J20" s="99">
        <f>+'Ventas externas'!J20</f>
        <v>0</v>
      </c>
      <c r="K20" s="99">
        <f>+'Ventas externas'!K20</f>
        <v>1376</v>
      </c>
      <c r="L20" s="99">
        <f>+'Ventas externas'!L20</f>
        <v>0</v>
      </c>
      <c r="M20" s="99">
        <f>+'Ventas externas'!M20</f>
        <v>0</v>
      </c>
      <c r="N20" s="99">
        <f>+'Ventas externas'!N20</f>
        <v>0</v>
      </c>
      <c r="O20" s="99">
        <f>+'Ventas externas'!O20</f>
        <v>0</v>
      </c>
      <c r="P20" s="99">
        <f>+'Ventas externas'!P20</f>
        <v>0</v>
      </c>
      <c r="Q20" s="99">
        <f>+'Ventas externas'!Q20</f>
        <v>0</v>
      </c>
      <c r="R20" s="99">
        <f>+'Ventas externas'!R20</f>
        <v>0</v>
      </c>
      <c r="S20" s="99">
        <f>+'Ventas externas'!S20</f>
        <v>0</v>
      </c>
      <c r="T20" s="99">
        <f>+'Ventas externas'!T20</f>
        <v>0</v>
      </c>
      <c r="U20" s="99">
        <f>+'Ventas externas'!U20</f>
        <v>0</v>
      </c>
      <c r="V20" s="99">
        <f>+'Ventas externas'!V20</f>
        <v>0</v>
      </c>
      <c r="W20" s="99">
        <f>+'Ventas externas'!W20</f>
        <v>0</v>
      </c>
      <c r="X20" s="99">
        <f>+'Ventas externas'!X20</f>
        <v>0</v>
      </c>
      <c r="Y20" s="99">
        <f>+'Ventas externas'!Y20</f>
        <v>0</v>
      </c>
      <c r="Z20" s="99">
        <f>+'Ventas externas'!Z20</f>
        <v>0</v>
      </c>
      <c r="AA20" s="99">
        <f>+'Ventas externas'!AA20</f>
        <v>0</v>
      </c>
      <c r="AB20" s="99">
        <f>+'Ventas externas'!AB20</f>
        <v>0</v>
      </c>
      <c r="AC20" s="99">
        <f>+'Ventas externas'!AC20</f>
        <v>0</v>
      </c>
      <c r="AD20" s="99">
        <f>+'Ventas externas'!AD20</f>
        <v>0</v>
      </c>
      <c r="AE20" s="99">
        <f>+'Ventas externas'!AE20</f>
        <v>0</v>
      </c>
      <c r="AF20" s="99">
        <f>+'Ventas externas'!AF20</f>
        <v>0</v>
      </c>
    </row>
    <row r="21" spans="2:32" s="5" customFormat="1" hidden="1" outlineLevel="2">
      <c r="B21" s="159" t="s">
        <v>40</v>
      </c>
      <c r="C21" s="159"/>
      <c r="D21" s="159"/>
      <c r="E21" s="159"/>
      <c r="F21" s="159"/>
      <c r="G21" s="159"/>
      <c r="H21" s="91"/>
      <c r="I21" s="91"/>
      <c r="J21" s="99">
        <f>+'Ventas externas'!J21</f>
        <v>0</v>
      </c>
      <c r="K21" s="99">
        <f>+'Ventas externas'!K21</f>
        <v>412</v>
      </c>
      <c r="L21" s="99">
        <f>+'Ventas externas'!L21</f>
        <v>0</v>
      </c>
      <c r="M21" s="99">
        <f>+'Ventas externas'!M21</f>
        <v>0</v>
      </c>
      <c r="N21" s="99">
        <f>+'Ventas externas'!N21</f>
        <v>0</v>
      </c>
      <c r="O21" s="99">
        <f>+'Ventas externas'!O21</f>
        <v>0</v>
      </c>
      <c r="P21" s="99">
        <f>+'Ventas externas'!P21</f>
        <v>0</v>
      </c>
      <c r="Q21" s="99">
        <f>+'Ventas externas'!Q21</f>
        <v>0</v>
      </c>
      <c r="R21" s="99">
        <f>+'Ventas externas'!R21</f>
        <v>0</v>
      </c>
      <c r="S21" s="99">
        <f>+'Ventas externas'!S21</f>
        <v>0</v>
      </c>
      <c r="T21" s="99">
        <f>+'Ventas externas'!T21</f>
        <v>0</v>
      </c>
      <c r="U21" s="99">
        <f>+'Ventas externas'!U21</f>
        <v>0</v>
      </c>
      <c r="V21" s="99">
        <f>+'Ventas externas'!V21</f>
        <v>0</v>
      </c>
      <c r="W21" s="99">
        <f>+'Ventas externas'!W21</f>
        <v>0</v>
      </c>
      <c r="X21" s="99">
        <f>+'Ventas externas'!X21</f>
        <v>0</v>
      </c>
      <c r="Y21" s="99">
        <f>+'Ventas externas'!Y21</f>
        <v>0</v>
      </c>
      <c r="Z21" s="99">
        <f>+'Ventas externas'!Z21</f>
        <v>0</v>
      </c>
      <c r="AA21" s="99">
        <f>+'Ventas externas'!AA21</f>
        <v>0</v>
      </c>
      <c r="AB21" s="99">
        <f>+'Ventas externas'!AB21</f>
        <v>0</v>
      </c>
      <c r="AC21" s="99">
        <f>+'Ventas externas'!AC21</f>
        <v>0</v>
      </c>
      <c r="AD21" s="99">
        <f>+'Ventas externas'!AD21</f>
        <v>0</v>
      </c>
      <c r="AE21" s="99">
        <f>+'Ventas externas'!AE21</f>
        <v>0</v>
      </c>
      <c r="AF21" s="99">
        <f>+'Ventas externas'!AF21</f>
        <v>0</v>
      </c>
    </row>
    <row r="22" spans="2:32" s="5" customFormat="1" hidden="1" outlineLevel="2">
      <c r="B22" s="159" t="s">
        <v>41</v>
      </c>
      <c r="C22" s="159"/>
      <c r="D22" s="159"/>
      <c r="E22" s="159"/>
      <c r="F22" s="159"/>
      <c r="G22" s="159"/>
      <c r="H22" s="91"/>
      <c r="I22" s="91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</row>
    <row r="23" spans="2:32" s="5" customFormat="1" hidden="1" outlineLevel="2">
      <c r="B23" s="91"/>
      <c r="C23" s="91"/>
      <c r="D23" s="91"/>
      <c r="E23" s="91"/>
      <c r="F23" s="91"/>
      <c r="G23" s="91"/>
      <c r="H23" s="91"/>
      <c r="I23" s="91"/>
      <c r="J23" s="99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</row>
    <row r="24" spans="2:32" s="4" customFormat="1" outlineLevel="1" collapsed="1">
      <c r="B24" s="158" t="s">
        <v>18</v>
      </c>
      <c r="C24" s="158"/>
      <c r="D24" s="158"/>
      <c r="E24" s="158"/>
      <c r="F24" s="158"/>
      <c r="G24" s="158"/>
      <c r="H24" s="101"/>
      <c r="I24" s="101"/>
      <c r="J24" s="102">
        <f>+SUBTOTAL(9,J25:J39)</f>
        <v>0</v>
      </c>
      <c r="K24" s="102">
        <f>+SUBTOTAL(9,K25:K39)</f>
        <v>0</v>
      </c>
      <c r="L24" s="102">
        <f>+SUBTOTAL(9,L25:L39)</f>
        <v>58607.806938146008</v>
      </c>
      <c r="M24" s="102">
        <f t="shared" ref="M24:AF24" si="3">+SUBTOTAL(9,M25:M39)</f>
        <v>39120.128991032303</v>
      </c>
      <c r="N24" s="102">
        <f t="shared" si="3"/>
        <v>50366.420996128429</v>
      </c>
      <c r="O24" s="102">
        <f t="shared" si="3"/>
        <v>98800.081980262767</v>
      </c>
      <c r="P24" s="102">
        <f t="shared" si="3"/>
        <v>87457.086699143081</v>
      </c>
      <c r="Q24" s="102">
        <f t="shared" si="3"/>
        <v>121216.144031217</v>
      </c>
      <c r="R24" s="102">
        <f t="shared" si="3"/>
        <v>161081.77565487311</v>
      </c>
      <c r="S24" s="102">
        <f t="shared" si="3"/>
        <v>182681.39037834105</v>
      </c>
      <c r="T24" s="102">
        <f t="shared" si="3"/>
        <v>215493.83884053858</v>
      </c>
      <c r="U24" s="102">
        <f t="shared" si="3"/>
        <v>237339.196903515</v>
      </c>
      <c r="V24" s="102">
        <f t="shared" si="3"/>
        <v>259771.8668537034</v>
      </c>
      <c r="W24" s="102">
        <f t="shared" si="3"/>
        <v>282155.10095152381</v>
      </c>
      <c r="X24" s="102">
        <f t="shared" si="3"/>
        <v>290693.80043367471</v>
      </c>
      <c r="Y24" s="102">
        <f t="shared" si="3"/>
        <v>275136.52526615706</v>
      </c>
      <c r="Z24" s="102">
        <f t="shared" si="3"/>
        <v>285506.32702469715</v>
      </c>
      <c r="AA24" s="102">
        <f t="shared" si="3"/>
        <v>299903.21857754444</v>
      </c>
      <c r="AB24" s="102">
        <f t="shared" si="3"/>
        <v>317244.00643200264</v>
      </c>
      <c r="AC24" s="102">
        <f t="shared" si="3"/>
        <v>320136.150087827</v>
      </c>
      <c r="AD24" s="102">
        <f t="shared" si="3"/>
        <v>367820.39424760942</v>
      </c>
      <c r="AE24" s="102">
        <f t="shared" si="3"/>
        <v>348135.47810217383</v>
      </c>
      <c r="AF24" s="102">
        <f t="shared" si="3"/>
        <v>361256.58548528783</v>
      </c>
    </row>
    <row r="25" spans="2:32" s="4" customFormat="1" hidden="1" outlineLevel="2">
      <c r="B25" s="159" t="s">
        <v>10</v>
      </c>
      <c r="C25" s="159"/>
      <c r="D25" s="159"/>
      <c r="E25" s="159"/>
      <c r="F25" s="159"/>
      <c r="G25" s="159"/>
      <c r="H25" s="91"/>
      <c r="I25" s="91"/>
      <c r="J25" s="99">
        <f>+SUBTOTAL(9,J26:J27)</f>
        <v>0</v>
      </c>
      <c r="K25" s="99">
        <f>+SUBTOTAL(9,K26:K27)</f>
        <v>0</v>
      </c>
      <c r="L25" s="99">
        <f>+SUBTOTAL(9,L26:L27)</f>
        <v>16778.6712498538</v>
      </c>
      <c r="M25" s="99">
        <f t="shared" ref="M25:AF25" si="4">+SUBTOTAL(9,M26:M27)</f>
        <v>13443.102844499805</v>
      </c>
      <c r="N25" s="99">
        <f t="shared" si="4"/>
        <v>16283.294580661775</v>
      </c>
      <c r="O25" s="99">
        <f t="shared" si="4"/>
        <v>34964.039118255205</v>
      </c>
      <c r="P25" s="99">
        <f t="shared" si="4"/>
        <v>29357.439169050118</v>
      </c>
      <c r="Q25" s="99">
        <f t="shared" si="4"/>
        <v>40510.697201341805</v>
      </c>
      <c r="R25" s="99">
        <f t="shared" si="4"/>
        <v>53550.855709393632</v>
      </c>
      <c r="S25" s="99">
        <f t="shared" si="4"/>
        <v>60709.998131281129</v>
      </c>
      <c r="T25" s="99">
        <f t="shared" si="4"/>
        <v>71590.171274498658</v>
      </c>
      <c r="U25" s="99">
        <f t="shared" si="4"/>
        <v>78873.762189534609</v>
      </c>
      <c r="V25" s="99">
        <f t="shared" si="4"/>
        <v>86301.106522598639</v>
      </c>
      <c r="W25" s="99">
        <f t="shared" si="4"/>
        <v>93676.107632588304</v>
      </c>
      <c r="X25" s="99">
        <f t="shared" si="4"/>
        <v>96264.830149321991</v>
      </c>
      <c r="Y25" s="99">
        <f t="shared" si="4"/>
        <v>90914.903572338124</v>
      </c>
      <c r="Z25" s="99">
        <f t="shared" si="4"/>
        <v>94555.418505070236</v>
      </c>
      <c r="AA25" s="99">
        <f t="shared" si="4"/>
        <v>99521.643821463935</v>
      </c>
      <c r="AB25" s="99">
        <f t="shared" si="4"/>
        <v>105401.70262661554</v>
      </c>
      <c r="AC25" s="99">
        <f t="shared" si="4"/>
        <v>106572.18877589286</v>
      </c>
      <c r="AD25" s="99">
        <f t="shared" si="4"/>
        <v>121805.72040022429</v>
      </c>
      <c r="AE25" s="99">
        <f t="shared" si="4"/>
        <v>115036.35655480938</v>
      </c>
      <c r="AF25" s="99">
        <f t="shared" si="4"/>
        <v>119642.769336314</v>
      </c>
    </row>
    <row r="26" spans="2:32" s="4" customFormat="1" hidden="1" outlineLevel="3">
      <c r="B26" s="160" t="s">
        <v>13</v>
      </c>
      <c r="C26" s="160"/>
      <c r="D26" s="160"/>
      <c r="E26" s="160"/>
      <c r="F26" s="160"/>
      <c r="G26" s="160"/>
      <c r="H26" s="91"/>
      <c r="I26" s="91"/>
      <c r="J26" s="99"/>
      <c r="K26" s="99"/>
      <c r="L26" s="99">
        <f>+'Proyectos Inmob detall'!G487</f>
        <v>16778.6712498538</v>
      </c>
      <c r="M26" s="99">
        <f>+'Proyectos Inmob detall'!H487</f>
        <v>12128.218445099805</v>
      </c>
      <c r="N26" s="99">
        <f>+'Proyectos Inmob detall'!I487</f>
        <v>10188.694517374</v>
      </c>
      <c r="O26" s="99">
        <f>+'Proyectos Inmob detall'!J487</f>
        <v>20216.272343688448</v>
      </c>
      <c r="P26" s="99">
        <f>+'Proyectos Inmob detall'!K487</f>
        <v>3376.5349157250021</v>
      </c>
      <c r="Q26" s="99">
        <f>+'Proyectos Inmob detall'!L487</f>
        <v>3100.3697816450017</v>
      </c>
      <c r="R26" s="99">
        <f>+'Proyectos Inmob detall'!M487</f>
        <v>3883.8352275749994</v>
      </c>
      <c r="S26" s="99">
        <f>+'Proyectos Inmob detall'!N487</f>
        <v>0</v>
      </c>
      <c r="T26" s="99">
        <f>+'Proyectos Inmob detall'!O487</f>
        <v>0</v>
      </c>
      <c r="U26" s="99">
        <f>+'Proyectos Inmob detall'!P487</f>
        <v>0</v>
      </c>
      <c r="V26" s="99">
        <f>+'Proyectos Inmob detall'!Q487</f>
        <v>0</v>
      </c>
      <c r="W26" s="99">
        <f>+'Proyectos Inmob detall'!R487</f>
        <v>0</v>
      </c>
      <c r="X26" s="99">
        <f>+'Proyectos Inmob detall'!S487</f>
        <v>0</v>
      </c>
      <c r="Y26" s="99">
        <f>+'Proyectos Inmob detall'!T487</f>
        <v>0</v>
      </c>
      <c r="Z26" s="99">
        <f>+'Proyectos Inmob detall'!U487</f>
        <v>0</v>
      </c>
      <c r="AA26" s="99">
        <f>+'Proyectos Inmob detall'!V487</f>
        <v>0</v>
      </c>
      <c r="AB26" s="99">
        <f>+'Proyectos Inmob detall'!W487</f>
        <v>0</v>
      </c>
      <c r="AC26" s="99">
        <f>+'Proyectos Inmob detall'!X487</f>
        <v>0</v>
      </c>
      <c r="AD26" s="99">
        <f>+'Proyectos Inmob detall'!Y487</f>
        <v>0</v>
      </c>
      <c r="AE26" s="99">
        <f>+'Proyectos Inmob detall'!Z487</f>
        <v>0</v>
      </c>
      <c r="AF26" s="99">
        <f>+'Proyectos Inmob detall'!AA487</f>
        <v>0</v>
      </c>
    </row>
    <row r="27" spans="2:32" s="4" customFormat="1" hidden="1" outlineLevel="3">
      <c r="B27" s="160" t="s">
        <v>14</v>
      </c>
      <c r="C27" s="160"/>
      <c r="D27" s="160"/>
      <c r="E27" s="160"/>
      <c r="F27" s="160"/>
      <c r="G27" s="160"/>
      <c r="H27" s="91"/>
      <c r="I27" s="91"/>
      <c r="J27" s="99"/>
      <c r="K27" s="99"/>
      <c r="L27" s="99">
        <f>+'Proyectos Inmob detall'!G585</f>
        <v>0</v>
      </c>
      <c r="M27" s="99">
        <f>+'Proyectos Inmob detall'!H585</f>
        <v>1314.8843993999999</v>
      </c>
      <c r="N27" s="99">
        <f>+'Proyectos Inmob detall'!I585</f>
        <v>6094.600063287774</v>
      </c>
      <c r="O27" s="99">
        <f>+'Proyectos Inmob detall'!J585</f>
        <v>14747.766774566757</v>
      </c>
      <c r="P27" s="99">
        <f>+'Proyectos Inmob detall'!K585</f>
        <v>25980.904253325116</v>
      </c>
      <c r="Q27" s="99">
        <f>+'Proyectos Inmob detall'!L585</f>
        <v>37410.327419696805</v>
      </c>
      <c r="R27" s="99">
        <f>+'Proyectos Inmob detall'!M585</f>
        <v>49667.020481818632</v>
      </c>
      <c r="S27" s="99">
        <f>+'Proyectos Inmob detall'!N585</f>
        <v>60709.998131281129</v>
      </c>
      <c r="T27" s="99">
        <f>+'Proyectos Inmob detall'!O585</f>
        <v>71590.171274498658</v>
      </c>
      <c r="U27" s="99">
        <f>+'Proyectos Inmob detall'!P585</f>
        <v>78873.762189534609</v>
      </c>
      <c r="V27" s="99">
        <f>+'Proyectos Inmob detall'!Q585</f>
        <v>86301.106522598639</v>
      </c>
      <c r="W27" s="99">
        <f>+'Proyectos Inmob detall'!R585</f>
        <v>93676.107632588304</v>
      </c>
      <c r="X27" s="99">
        <f>+'Proyectos Inmob detall'!S585</f>
        <v>96264.830149321991</v>
      </c>
      <c r="Y27" s="99">
        <f>+'Proyectos Inmob detall'!T585</f>
        <v>90914.903572338124</v>
      </c>
      <c r="Z27" s="99">
        <f>+'Proyectos Inmob detall'!U585</f>
        <v>94555.418505070236</v>
      </c>
      <c r="AA27" s="99">
        <f>+'Proyectos Inmob detall'!V585</f>
        <v>99521.643821463935</v>
      </c>
      <c r="AB27" s="99">
        <f>+'Proyectos Inmob detall'!W585</f>
        <v>105401.70262661554</v>
      </c>
      <c r="AC27" s="99">
        <f>+'Proyectos Inmob detall'!X585</f>
        <v>106572.18877589286</v>
      </c>
      <c r="AD27" s="99">
        <f>+'Proyectos Inmob detall'!Y585</f>
        <v>121805.72040022429</v>
      </c>
      <c r="AE27" s="99">
        <f>+'Proyectos Inmob detall'!Z585</f>
        <v>115036.35655480938</v>
      </c>
      <c r="AF27" s="99">
        <f>+'Proyectos Inmob detall'!AA585</f>
        <v>119642.769336314</v>
      </c>
    </row>
    <row r="28" spans="2:32" s="4" customFormat="1" hidden="1" outlineLevel="2" collapsed="1">
      <c r="B28" s="159" t="s">
        <v>7</v>
      </c>
      <c r="C28" s="159"/>
      <c r="D28" s="159"/>
      <c r="E28" s="159"/>
      <c r="F28" s="159"/>
      <c r="G28" s="159"/>
      <c r="H28" s="91"/>
      <c r="I28" s="91"/>
      <c r="J28" s="99">
        <f>+SUBTOTAL(9,J29:J30)</f>
        <v>0</v>
      </c>
      <c r="K28" s="99">
        <f>+SUBTOTAL(9,K29:K30)</f>
        <v>0</v>
      </c>
      <c r="L28" s="99">
        <f>+SUBTOTAL(9,L29:L30)</f>
        <v>316.20341450880005</v>
      </c>
      <c r="M28" s="99">
        <f t="shared" ref="M28:AF28" si="5">+SUBTOTAL(9,M29:M30)</f>
        <v>277.35482549120002</v>
      </c>
      <c r="N28" s="99">
        <f t="shared" si="5"/>
        <v>161.1076139064516</v>
      </c>
      <c r="O28" s="99">
        <f t="shared" si="5"/>
        <v>312.48064646105809</v>
      </c>
      <c r="P28" s="99">
        <f t="shared" si="5"/>
        <v>505.02648817671752</v>
      </c>
      <c r="Q28" s="99">
        <f t="shared" si="5"/>
        <v>699.97030361872919</v>
      </c>
      <c r="R28" s="99">
        <f t="shared" si="5"/>
        <v>930.17691920267862</v>
      </c>
      <c r="S28" s="99">
        <f t="shared" si="5"/>
        <v>1054.9052629135606</v>
      </c>
      <c r="T28" s="99">
        <f t="shared" si="5"/>
        <v>1244.3828254620225</v>
      </c>
      <c r="U28" s="99">
        <f t="shared" si="5"/>
        <v>1370.5302296564964</v>
      </c>
      <c r="V28" s="99">
        <f t="shared" si="5"/>
        <v>1500.0691035540879</v>
      </c>
      <c r="W28" s="99">
        <f t="shared" si="5"/>
        <v>1629.3225069900657</v>
      </c>
      <c r="X28" s="99">
        <f t="shared" si="5"/>
        <v>1678.6297681374833</v>
      </c>
      <c r="Y28" s="99">
        <f t="shared" si="5"/>
        <v>1588.7932970179018</v>
      </c>
      <c r="Z28" s="99">
        <f t="shared" si="5"/>
        <v>1648.6743742737667</v>
      </c>
      <c r="AA28" s="99">
        <f t="shared" si="5"/>
        <v>1731.8101366918254</v>
      </c>
      <c r="AB28" s="99">
        <f t="shared" si="5"/>
        <v>1831.9456148204413</v>
      </c>
      <c r="AC28" s="99">
        <f t="shared" si="5"/>
        <v>1848.6464815990032</v>
      </c>
      <c r="AD28" s="99">
        <f t="shared" si="5"/>
        <v>2124.0021706378889</v>
      </c>
      <c r="AE28" s="99">
        <f t="shared" si="5"/>
        <v>2010.3303751757162</v>
      </c>
      <c r="AF28" s="99">
        <f t="shared" si="5"/>
        <v>2086.0990410755899</v>
      </c>
    </row>
    <row r="29" spans="2:32" s="4" customFormat="1" hidden="1" outlineLevel="3">
      <c r="B29" s="160" t="s">
        <v>13</v>
      </c>
      <c r="C29" s="160"/>
      <c r="D29" s="160"/>
      <c r="E29" s="160"/>
      <c r="F29" s="160"/>
      <c r="G29" s="160"/>
      <c r="H29" s="91"/>
      <c r="I29" s="91"/>
      <c r="J29" s="99"/>
      <c r="K29" s="99"/>
      <c r="L29" s="99">
        <f>+'Proyectos Inmob detall'!G436</f>
        <v>316.20341450880005</v>
      </c>
      <c r="M29" s="99">
        <f>+'Proyectos Inmob detall'!H436</f>
        <v>254.96874749120002</v>
      </c>
      <c r="N29" s="99">
        <f>+'Proyectos Inmob detall'!I436</f>
        <v>57.272285833225808</v>
      </c>
      <c r="O29" s="99">
        <f>+'Proyectos Inmob detall'!J436</f>
        <v>60.357973016774196</v>
      </c>
      <c r="P29" s="99">
        <f>+'Proyectos Inmob detall'!K436</f>
        <v>59.050455749999998</v>
      </c>
      <c r="Q29" s="99">
        <f>+'Proyectos Inmob detall'!L436</f>
        <v>54.729786150000024</v>
      </c>
      <c r="R29" s="99">
        <f>+'Proyectos Inmob detall'!M436</f>
        <v>69.169415250000014</v>
      </c>
      <c r="S29" s="99">
        <f>+'Proyectos Inmob detall'!N436</f>
        <v>0</v>
      </c>
      <c r="T29" s="99">
        <f>+'Proyectos Inmob detall'!O436</f>
        <v>0</v>
      </c>
      <c r="U29" s="99">
        <f>+'Proyectos Inmob detall'!P436</f>
        <v>0</v>
      </c>
      <c r="V29" s="99">
        <f>+'Proyectos Inmob detall'!Q436</f>
        <v>0</v>
      </c>
      <c r="W29" s="99">
        <f>+'Proyectos Inmob detall'!R436</f>
        <v>0</v>
      </c>
      <c r="X29" s="99">
        <f>+'Proyectos Inmob detall'!S436</f>
        <v>0</v>
      </c>
      <c r="Y29" s="99">
        <f>+'Proyectos Inmob detall'!T436</f>
        <v>0</v>
      </c>
      <c r="Z29" s="99">
        <f>+'Proyectos Inmob detall'!U436</f>
        <v>0</v>
      </c>
      <c r="AA29" s="99">
        <f>+'Proyectos Inmob detall'!V436</f>
        <v>0</v>
      </c>
      <c r="AB29" s="99">
        <f>+'Proyectos Inmob detall'!W436</f>
        <v>0</v>
      </c>
      <c r="AC29" s="99">
        <f>+'Proyectos Inmob detall'!X436</f>
        <v>0</v>
      </c>
      <c r="AD29" s="99">
        <f>+'Proyectos Inmob detall'!Y436</f>
        <v>0</v>
      </c>
      <c r="AE29" s="99">
        <f>+'Proyectos Inmob detall'!Z436</f>
        <v>0</v>
      </c>
      <c r="AF29" s="99">
        <f>+'Proyectos Inmob detall'!AA436</f>
        <v>0</v>
      </c>
    </row>
    <row r="30" spans="2:32" s="4" customFormat="1" hidden="1" outlineLevel="3">
      <c r="B30" s="160" t="s">
        <v>14</v>
      </c>
      <c r="C30" s="160"/>
      <c r="D30" s="160"/>
      <c r="E30" s="160"/>
      <c r="F30" s="160"/>
      <c r="G30" s="160"/>
      <c r="H30" s="91"/>
      <c r="I30" s="91"/>
      <c r="J30" s="99"/>
      <c r="K30" s="99"/>
      <c r="L30" s="99">
        <f>+'Proyectos Inmob detall'!G572</f>
        <v>0</v>
      </c>
      <c r="M30" s="99">
        <f>+'Proyectos Inmob detall'!H572</f>
        <v>22.386078000000001</v>
      </c>
      <c r="N30" s="99">
        <f>+'Proyectos Inmob detall'!I572</f>
        <v>103.83532807322581</v>
      </c>
      <c r="O30" s="99">
        <f>+'Proyectos Inmob detall'!J572</f>
        <v>252.12267344428392</v>
      </c>
      <c r="P30" s="99">
        <f>+'Proyectos Inmob detall'!K572</f>
        <v>445.9760324267175</v>
      </c>
      <c r="Q30" s="99">
        <f>+'Proyectos Inmob detall'!L572</f>
        <v>645.24051746872919</v>
      </c>
      <c r="R30" s="99">
        <f>+'Proyectos Inmob detall'!M572</f>
        <v>861.00750395267858</v>
      </c>
      <c r="S30" s="99">
        <f>+'Proyectos Inmob detall'!N572</f>
        <v>1054.9052629135606</v>
      </c>
      <c r="T30" s="99">
        <f>+'Proyectos Inmob detall'!O572</f>
        <v>1244.3828254620225</v>
      </c>
      <c r="U30" s="99">
        <f>+'Proyectos Inmob detall'!P572</f>
        <v>1370.5302296564964</v>
      </c>
      <c r="V30" s="99">
        <f>+'Proyectos Inmob detall'!Q572</f>
        <v>1500.0691035540879</v>
      </c>
      <c r="W30" s="99">
        <f>+'Proyectos Inmob detall'!R572</f>
        <v>1629.3225069900657</v>
      </c>
      <c r="X30" s="99">
        <f>+'Proyectos Inmob detall'!S572</f>
        <v>1678.6297681374833</v>
      </c>
      <c r="Y30" s="99">
        <f>+'Proyectos Inmob detall'!T572</f>
        <v>1588.7932970179018</v>
      </c>
      <c r="Z30" s="99">
        <f>+'Proyectos Inmob detall'!U572</f>
        <v>1648.6743742737667</v>
      </c>
      <c r="AA30" s="99">
        <f>+'Proyectos Inmob detall'!V572</f>
        <v>1731.8101366918254</v>
      </c>
      <c r="AB30" s="99">
        <f>+'Proyectos Inmob detall'!W572</f>
        <v>1831.9456148204413</v>
      </c>
      <c r="AC30" s="99">
        <f>+'Proyectos Inmob detall'!X572</f>
        <v>1848.6464815990032</v>
      </c>
      <c r="AD30" s="99">
        <f>+'Proyectos Inmob detall'!Y572</f>
        <v>2124.0021706378889</v>
      </c>
      <c r="AE30" s="99">
        <f>+'Proyectos Inmob detall'!Z572</f>
        <v>2010.3303751757162</v>
      </c>
      <c r="AF30" s="99">
        <f>+'Proyectos Inmob detall'!AA572</f>
        <v>2086.0990410755899</v>
      </c>
    </row>
    <row r="31" spans="2:32" s="4" customFormat="1" hidden="1" outlineLevel="2" collapsed="1">
      <c r="B31" s="159" t="s">
        <v>11</v>
      </c>
      <c r="C31" s="159"/>
      <c r="D31" s="159"/>
      <c r="E31" s="159"/>
      <c r="F31" s="159"/>
      <c r="G31" s="159"/>
      <c r="H31" s="91"/>
      <c r="I31" s="91"/>
      <c r="J31" s="99">
        <f>+SUBTOTAL(9,J32:J33)</f>
        <v>0</v>
      </c>
      <c r="K31" s="99">
        <f>+SUBTOTAL(9,K32:K33)</f>
        <v>0</v>
      </c>
      <c r="L31" s="99">
        <f>+SUBTOTAL(9,L32:L33)</f>
        <v>0</v>
      </c>
      <c r="M31" s="99">
        <f t="shared" ref="M31:AF31" si="6">+SUBTOTAL(9,M32:M33)</f>
        <v>17.9088624</v>
      </c>
      <c r="N31" s="99">
        <f t="shared" si="6"/>
        <v>64.443045562580636</v>
      </c>
      <c r="O31" s="99">
        <f t="shared" si="6"/>
        <v>124.99225858442321</v>
      </c>
      <c r="P31" s="99">
        <f t="shared" si="6"/>
        <v>202.01059527068693</v>
      </c>
      <c r="Q31" s="99">
        <f t="shared" si="6"/>
        <v>279.98812144749161</v>
      </c>
      <c r="R31" s="99">
        <f t="shared" si="6"/>
        <v>372.07076768107129</v>
      </c>
      <c r="S31" s="99">
        <f t="shared" si="6"/>
        <v>421.96210516542408</v>
      </c>
      <c r="T31" s="99">
        <f t="shared" si="6"/>
        <v>497.75313018480898</v>
      </c>
      <c r="U31" s="99">
        <f t="shared" si="6"/>
        <v>548.21209186259841</v>
      </c>
      <c r="V31" s="99">
        <f t="shared" si="6"/>
        <v>600.02764142163505</v>
      </c>
      <c r="W31" s="99">
        <f t="shared" si="6"/>
        <v>651.72900279602607</v>
      </c>
      <c r="X31" s="99">
        <f t="shared" si="6"/>
        <v>671.45190725499322</v>
      </c>
      <c r="Y31" s="99">
        <f t="shared" si="6"/>
        <v>635.51731880716068</v>
      </c>
      <c r="Z31" s="99">
        <f t="shared" si="6"/>
        <v>659.46974970950657</v>
      </c>
      <c r="AA31" s="99">
        <f t="shared" si="6"/>
        <v>692.72405467673013</v>
      </c>
      <c r="AB31" s="99">
        <f t="shared" si="6"/>
        <v>732.77824592817637</v>
      </c>
      <c r="AC31" s="99">
        <f t="shared" si="6"/>
        <v>739.45859263960119</v>
      </c>
      <c r="AD31" s="99">
        <f t="shared" si="6"/>
        <v>849.60086825515532</v>
      </c>
      <c r="AE31" s="99">
        <f t="shared" si="6"/>
        <v>804.13215007028623</v>
      </c>
      <c r="AF31" s="99">
        <f t="shared" si="6"/>
        <v>834.43961643023579</v>
      </c>
    </row>
    <row r="32" spans="2:32" s="4" customFormat="1" hidden="1" outlineLevel="3">
      <c r="B32" s="160" t="s">
        <v>13</v>
      </c>
      <c r="C32" s="160"/>
      <c r="D32" s="160"/>
      <c r="E32" s="160"/>
      <c r="F32" s="160"/>
      <c r="G32" s="160"/>
      <c r="H32" s="91"/>
      <c r="I32" s="91"/>
      <c r="J32" s="99"/>
      <c r="K32" s="99"/>
      <c r="L32" s="99">
        <f>+'Proyectos Inmob detall'!G451</f>
        <v>0</v>
      </c>
      <c r="M32" s="99">
        <f>+'Proyectos Inmob detall'!H451</f>
        <v>8.9544312000000001</v>
      </c>
      <c r="N32" s="99">
        <f>+'Proyectos Inmob detall'!I451</f>
        <v>22.908914333290319</v>
      </c>
      <c r="O32" s="99">
        <f>+'Proyectos Inmob detall'!J451</f>
        <v>24.143189206709671</v>
      </c>
      <c r="P32" s="99">
        <f>+'Proyectos Inmob detall'!K451</f>
        <v>23.620182299999989</v>
      </c>
      <c r="Q32" s="99">
        <f>+'Proyectos Inmob detall'!L451</f>
        <v>21.89191446000001</v>
      </c>
      <c r="R32" s="99">
        <f>+'Proyectos Inmob detall'!M451</f>
        <v>27.667766099999994</v>
      </c>
      <c r="S32" s="99">
        <f>+'Proyectos Inmob detall'!N451</f>
        <v>0</v>
      </c>
      <c r="T32" s="99">
        <f>+'Proyectos Inmob detall'!O451</f>
        <v>0</v>
      </c>
      <c r="U32" s="99">
        <f>+'Proyectos Inmob detall'!P451</f>
        <v>0</v>
      </c>
      <c r="V32" s="99">
        <f>+'Proyectos Inmob detall'!Q451</f>
        <v>0</v>
      </c>
      <c r="W32" s="99">
        <f>+'Proyectos Inmob detall'!R451</f>
        <v>0</v>
      </c>
      <c r="X32" s="99">
        <f>+'Proyectos Inmob detall'!S451</f>
        <v>0</v>
      </c>
      <c r="Y32" s="99">
        <f>+'Proyectos Inmob detall'!T451</f>
        <v>0</v>
      </c>
      <c r="Z32" s="99">
        <f>+'Proyectos Inmob detall'!U451</f>
        <v>0</v>
      </c>
      <c r="AA32" s="99">
        <f>+'Proyectos Inmob detall'!V451</f>
        <v>0</v>
      </c>
      <c r="AB32" s="99">
        <f>+'Proyectos Inmob detall'!W451</f>
        <v>0</v>
      </c>
      <c r="AC32" s="99">
        <f>+'Proyectos Inmob detall'!X451</f>
        <v>0</v>
      </c>
      <c r="AD32" s="99">
        <f>+'Proyectos Inmob detall'!Y451</f>
        <v>0</v>
      </c>
      <c r="AE32" s="99">
        <f>+'Proyectos Inmob detall'!Z451</f>
        <v>0</v>
      </c>
      <c r="AF32" s="99">
        <f>+'Proyectos Inmob detall'!AA451</f>
        <v>0</v>
      </c>
    </row>
    <row r="33" spans="2:32" s="4" customFormat="1" hidden="1" outlineLevel="3">
      <c r="B33" s="160" t="s">
        <v>14</v>
      </c>
      <c r="C33" s="160"/>
      <c r="D33" s="160"/>
      <c r="E33" s="160"/>
      <c r="F33" s="160"/>
      <c r="G33" s="160"/>
      <c r="H33" s="91"/>
      <c r="I33" s="91"/>
      <c r="J33" s="99"/>
      <c r="K33" s="99"/>
      <c r="L33" s="99">
        <f>+'Proyectos Inmob detall'!G576</f>
        <v>0</v>
      </c>
      <c r="M33" s="99">
        <f>+'Proyectos Inmob detall'!H576</f>
        <v>8.9544312000000001</v>
      </c>
      <c r="N33" s="99">
        <f>+'Proyectos Inmob detall'!I576</f>
        <v>41.534131229290324</v>
      </c>
      <c r="O33" s="99">
        <f>+'Proyectos Inmob detall'!J576</f>
        <v>100.84906937771353</v>
      </c>
      <c r="P33" s="99">
        <f>+'Proyectos Inmob detall'!K576</f>
        <v>178.39041297068695</v>
      </c>
      <c r="Q33" s="99">
        <f>+'Proyectos Inmob detall'!L576</f>
        <v>258.0962069874916</v>
      </c>
      <c r="R33" s="99">
        <f>+'Proyectos Inmob detall'!M576</f>
        <v>344.40300158107129</v>
      </c>
      <c r="S33" s="99">
        <f>+'Proyectos Inmob detall'!N576</f>
        <v>421.96210516542408</v>
      </c>
      <c r="T33" s="99">
        <f>+'Proyectos Inmob detall'!O576</f>
        <v>497.75313018480898</v>
      </c>
      <c r="U33" s="99">
        <f>+'Proyectos Inmob detall'!P576</f>
        <v>548.21209186259841</v>
      </c>
      <c r="V33" s="99">
        <f>+'Proyectos Inmob detall'!Q576</f>
        <v>600.02764142163505</v>
      </c>
      <c r="W33" s="99">
        <f>+'Proyectos Inmob detall'!R576</f>
        <v>651.72900279602607</v>
      </c>
      <c r="X33" s="99">
        <f>+'Proyectos Inmob detall'!S576</f>
        <v>671.45190725499322</v>
      </c>
      <c r="Y33" s="99">
        <f>+'Proyectos Inmob detall'!T576</f>
        <v>635.51731880716068</v>
      </c>
      <c r="Z33" s="99">
        <f>+'Proyectos Inmob detall'!U576</f>
        <v>659.46974970950657</v>
      </c>
      <c r="AA33" s="99">
        <f>+'Proyectos Inmob detall'!V576</f>
        <v>692.72405467673013</v>
      </c>
      <c r="AB33" s="99">
        <f>+'Proyectos Inmob detall'!W576</f>
        <v>732.77824592817637</v>
      </c>
      <c r="AC33" s="99">
        <f>+'Proyectos Inmob detall'!X576</f>
        <v>739.45859263960119</v>
      </c>
      <c r="AD33" s="99">
        <f>+'Proyectos Inmob detall'!Y576</f>
        <v>849.60086825515532</v>
      </c>
      <c r="AE33" s="99">
        <f>+'Proyectos Inmob detall'!Z576</f>
        <v>804.13215007028623</v>
      </c>
      <c r="AF33" s="99">
        <f>+'Proyectos Inmob detall'!AA576</f>
        <v>834.43961643023579</v>
      </c>
    </row>
    <row r="34" spans="2:32" s="4" customFormat="1" hidden="1" outlineLevel="2" collapsed="1">
      <c r="B34" s="159" t="s">
        <v>6</v>
      </c>
      <c r="C34" s="159"/>
      <c r="D34" s="159"/>
      <c r="E34" s="159"/>
      <c r="F34" s="159"/>
      <c r="G34" s="159"/>
      <c r="H34" s="91"/>
      <c r="I34" s="91"/>
      <c r="J34" s="99">
        <f>+SUBTOTAL(9,J35:J36)</f>
        <v>0</v>
      </c>
      <c r="K34" s="99">
        <f>+SUBTOTAL(9,K35:K36)</f>
        <v>0</v>
      </c>
      <c r="L34" s="99">
        <f>+SUBTOTAL(9,L35:L36)</f>
        <v>39085.419159550358</v>
      </c>
      <c r="M34" s="99">
        <f t="shared" ref="M34:AF34" si="7">+SUBTOTAL(9,M35:M36)</f>
        <v>23032.05490443435</v>
      </c>
      <c r="N34" s="99">
        <f t="shared" si="7"/>
        <v>30785.867559891121</v>
      </c>
      <c r="O34" s="99">
        <f t="shared" si="7"/>
        <v>59524.652435911485</v>
      </c>
      <c r="P34" s="99">
        <f t="shared" si="7"/>
        <v>54037.834234908769</v>
      </c>
      <c r="Q34" s="99">
        <f t="shared" si="7"/>
        <v>74896.822487204015</v>
      </c>
      <c r="R34" s="99">
        <f t="shared" si="7"/>
        <v>99528.93035468657</v>
      </c>
      <c r="S34" s="99">
        <f t="shared" si="7"/>
        <v>112874.86313175096</v>
      </c>
      <c r="T34" s="99">
        <f t="shared" si="7"/>
        <v>133148.9623244364</v>
      </c>
      <c r="U34" s="99">
        <f t="shared" si="7"/>
        <v>146646.73457324508</v>
      </c>
      <c r="V34" s="99">
        <f t="shared" si="7"/>
        <v>160507.39408028737</v>
      </c>
      <c r="W34" s="99">
        <f t="shared" si="7"/>
        <v>174337.50824793696</v>
      </c>
      <c r="X34" s="99">
        <f t="shared" si="7"/>
        <v>179613.38519071069</v>
      </c>
      <c r="Y34" s="99">
        <f t="shared" si="7"/>
        <v>170000.88278091548</v>
      </c>
      <c r="Z34" s="99">
        <f t="shared" si="7"/>
        <v>176408.15804729299</v>
      </c>
      <c r="AA34" s="99">
        <f t="shared" si="7"/>
        <v>185303.68462602529</v>
      </c>
      <c r="AB34" s="99">
        <f t="shared" si="7"/>
        <v>196018.18078578718</v>
      </c>
      <c r="AC34" s="99">
        <f t="shared" si="7"/>
        <v>197805.17353109331</v>
      </c>
      <c r="AD34" s="99">
        <f t="shared" si="7"/>
        <v>227268.23225825405</v>
      </c>
      <c r="AE34" s="99">
        <f t="shared" si="7"/>
        <v>215105.35014380157</v>
      </c>
      <c r="AF34" s="99">
        <f t="shared" si="7"/>
        <v>223212.59739508806</v>
      </c>
    </row>
    <row r="35" spans="2:32" s="4" customFormat="1" hidden="1" outlineLevel="3">
      <c r="B35" s="160" t="s">
        <v>13</v>
      </c>
      <c r="C35" s="160"/>
      <c r="D35" s="160"/>
      <c r="E35" s="160"/>
      <c r="F35" s="160"/>
      <c r="G35" s="160"/>
      <c r="H35" s="91"/>
      <c r="I35" s="91"/>
      <c r="J35" s="99"/>
      <c r="K35" s="99"/>
      <c r="L35" s="99">
        <f>+'Proyectos Inmob detall'!G466</f>
        <v>39085.419159550358</v>
      </c>
      <c r="M35" s="99">
        <f>+'Proyectos Inmob detall'!H466</f>
        <v>20636.744558434351</v>
      </c>
      <c r="N35" s="99">
        <f>+'Proyectos Inmob detall'!I466</f>
        <v>19675.487456055962</v>
      </c>
      <c r="O35" s="99">
        <f>+'Proyectos Inmob detall'!J466</f>
        <v>32547.526377373117</v>
      </c>
      <c r="P35" s="99">
        <f>+'Proyectos Inmob detall'!K466</f>
        <v>6318.3987652500009</v>
      </c>
      <c r="Q35" s="99">
        <f>+'Proyectos Inmob detall'!L466</f>
        <v>5856.0871180500008</v>
      </c>
      <c r="R35" s="99">
        <f>+'Proyectos Inmob detall'!M466</f>
        <v>7401.1274317499947</v>
      </c>
      <c r="S35" s="99">
        <f>+'Proyectos Inmob detall'!N466</f>
        <v>0</v>
      </c>
      <c r="T35" s="99">
        <f>+'Proyectos Inmob detall'!O466</f>
        <v>0</v>
      </c>
      <c r="U35" s="99">
        <f>+'Proyectos Inmob detall'!P466</f>
        <v>0</v>
      </c>
      <c r="V35" s="99">
        <f>+'Proyectos Inmob detall'!Q466</f>
        <v>0</v>
      </c>
      <c r="W35" s="99">
        <f>+'Proyectos Inmob detall'!R466</f>
        <v>0</v>
      </c>
      <c r="X35" s="99">
        <f>+'Proyectos Inmob detall'!S466</f>
        <v>0</v>
      </c>
      <c r="Y35" s="99">
        <f>+'Proyectos Inmob detall'!T466</f>
        <v>0</v>
      </c>
      <c r="Z35" s="99">
        <f>+'Proyectos Inmob detall'!U466</f>
        <v>0</v>
      </c>
      <c r="AA35" s="99">
        <f>+'Proyectos Inmob detall'!V466</f>
        <v>0</v>
      </c>
      <c r="AB35" s="99">
        <f>+'Proyectos Inmob detall'!W466</f>
        <v>0</v>
      </c>
      <c r="AC35" s="99">
        <f>+'Proyectos Inmob detall'!X466</f>
        <v>0</v>
      </c>
      <c r="AD35" s="99">
        <f>+'Proyectos Inmob detall'!Y466</f>
        <v>0</v>
      </c>
      <c r="AE35" s="99">
        <f>+'Proyectos Inmob detall'!Z466</f>
        <v>0</v>
      </c>
      <c r="AF35" s="99">
        <f>+'Proyectos Inmob detall'!AA466</f>
        <v>0</v>
      </c>
    </row>
    <row r="36" spans="2:32" s="4" customFormat="1" hidden="1" outlineLevel="3">
      <c r="B36" s="160" t="s">
        <v>14</v>
      </c>
      <c r="C36" s="160"/>
      <c r="D36" s="160"/>
      <c r="E36" s="160"/>
      <c r="F36" s="160"/>
      <c r="G36" s="160"/>
      <c r="H36" s="91"/>
      <c r="I36" s="91"/>
      <c r="J36" s="99"/>
      <c r="K36" s="99"/>
      <c r="L36" s="99">
        <f>+'Proyectos Inmob detall'!G580</f>
        <v>0</v>
      </c>
      <c r="M36" s="99">
        <f>+'Proyectos Inmob detall'!H580</f>
        <v>2395.3103459999998</v>
      </c>
      <c r="N36" s="99">
        <f>+'Proyectos Inmob detall'!I580</f>
        <v>11110.380103835159</v>
      </c>
      <c r="O36" s="99">
        <f>+'Proyectos Inmob detall'!J580</f>
        <v>26977.126058538372</v>
      </c>
      <c r="P36" s="99">
        <f>+'Proyectos Inmob detall'!K580</f>
        <v>47719.435469658769</v>
      </c>
      <c r="Q36" s="99">
        <f>+'Proyectos Inmob detall'!L580</f>
        <v>69040.735369154019</v>
      </c>
      <c r="R36" s="99">
        <f>+'Proyectos Inmob detall'!M580</f>
        <v>92127.802922936578</v>
      </c>
      <c r="S36" s="99">
        <f>+'Proyectos Inmob detall'!N580</f>
        <v>112874.86313175096</v>
      </c>
      <c r="T36" s="99">
        <f>+'Proyectos Inmob detall'!O580</f>
        <v>133148.9623244364</v>
      </c>
      <c r="U36" s="99">
        <f>+'Proyectos Inmob detall'!P580</f>
        <v>146646.73457324508</v>
      </c>
      <c r="V36" s="99">
        <f>+'Proyectos Inmob detall'!Q580</f>
        <v>160507.39408028737</v>
      </c>
      <c r="W36" s="99">
        <f>+'Proyectos Inmob detall'!R580</f>
        <v>174337.50824793696</v>
      </c>
      <c r="X36" s="99">
        <f>+'Proyectos Inmob detall'!S580</f>
        <v>179613.38519071069</v>
      </c>
      <c r="Y36" s="99">
        <f>+'Proyectos Inmob detall'!T580</f>
        <v>170000.88278091548</v>
      </c>
      <c r="Z36" s="99">
        <f>+'Proyectos Inmob detall'!U580</f>
        <v>176408.15804729299</v>
      </c>
      <c r="AA36" s="99">
        <f>+'Proyectos Inmob detall'!V580</f>
        <v>185303.68462602529</v>
      </c>
      <c r="AB36" s="99">
        <f>+'Proyectos Inmob detall'!W580</f>
        <v>196018.18078578718</v>
      </c>
      <c r="AC36" s="99">
        <f>+'Proyectos Inmob detall'!X580</f>
        <v>197805.17353109331</v>
      </c>
      <c r="AD36" s="99">
        <f>+'Proyectos Inmob detall'!Y580</f>
        <v>227268.23225825405</v>
      </c>
      <c r="AE36" s="99">
        <f>+'Proyectos Inmob detall'!Z580</f>
        <v>215105.35014380157</v>
      </c>
      <c r="AF36" s="99">
        <f>+'Proyectos Inmob detall'!AA580</f>
        <v>223212.59739508806</v>
      </c>
    </row>
    <row r="37" spans="2:32" s="4" customFormat="1" hidden="1" outlineLevel="2" collapsed="1">
      <c r="B37" s="159" t="s">
        <v>12</v>
      </c>
      <c r="C37" s="159"/>
      <c r="D37" s="159"/>
      <c r="E37" s="159"/>
      <c r="F37" s="159"/>
      <c r="G37" s="159"/>
      <c r="H37" s="91"/>
      <c r="I37" s="91"/>
      <c r="J37" s="99">
        <f>+SUBTOTAL(9,J38:J39)</f>
        <v>0</v>
      </c>
      <c r="K37" s="99">
        <f>+SUBTOTAL(9,K38:K39)</f>
        <v>0</v>
      </c>
      <c r="L37" s="99">
        <f>+SUBTOTAL(9,L38:L39)</f>
        <v>2427.513114233052</v>
      </c>
      <c r="M37" s="99">
        <f t="shared" ref="M37:AF37" si="8">+SUBTOTAL(9,M38:M39)</f>
        <v>2349.7075542069483</v>
      </c>
      <c r="N37" s="99">
        <f t="shared" si="8"/>
        <v>3071.708196106501</v>
      </c>
      <c r="O37" s="99">
        <f t="shared" si="8"/>
        <v>3873.917521050596</v>
      </c>
      <c r="P37" s="99">
        <f t="shared" si="8"/>
        <v>3354.7762117367747</v>
      </c>
      <c r="Q37" s="99">
        <f t="shared" si="8"/>
        <v>4828.6659176049552</v>
      </c>
      <c r="R37" s="99">
        <f t="shared" si="8"/>
        <v>6699.7419039091528</v>
      </c>
      <c r="S37" s="99">
        <f t="shared" si="8"/>
        <v>7619.6617472299768</v>
      </c>
      <c r="T37" s="99">
        <f t="shared" si="8"/>
        <v>9012.5692859566861</v>
      </c>
      <c r="U37" s="99">
        <f t="shared" si="8"/>
        <v>9899.9578192162226</v>
      </c>
      <c r="V37" s="99">
        <f t="shared" si="8"/>
        <v>10863.269505841663</v>
      </c>
      <c r="W37" s="99">
        <f t="shared" si="8"/>
        <v>11860.433561212461</v>
      </c>
      <c r="X37" s="99">
        <f t="shared" si="8"/>
        <v>12465.503418249544</v>
      </c>
      <c r="Y37" s="99">
        <f t="shared" si="8"/>
        <v>11996.428297078393</v>
      </c>
      <c r="Z37" s="99">
        <f t="shared" si="8"/>
        <v>12234.606348350635</v>
      </c>
      <c r="AA37" s="99">
        <f t="shared" si="8"/>
        <v>12653.355938686664</v>
      </c>
      <c r="AB37" s="99">
        <f t="shared" si="8"/>
        <v>13259.399158851302</v>
      </c>
      <c r="AC37" s="99">
        <f t="shared" si="8"/>
        <v>13170.682706602191</v>
      </c>
      <c r="AD37" s="99">
        <f t="shared" si="8"/>
        <v>15772.838550238048</v>
      </c>
      <c r="AE37" s="99">
        <f t="shared" si="8"/>
        <v>15179.308878316879</v>
      </c>
      <c r="AF37" s="99">
        <f t="shared" si="8"/>
        <v>15480.680096379958</v>
      </c>
    </row>
    <row r="38" spans="2:32" s="4" customFormat="1" hidden="1" outlineLevel="3">
      <c r="B38" s="160" t="s">
        <v>13</v>
      </c>
      <c r="C38" s="160"/>
      <c r="D38" s="160"/>
      <c r="E38" s="160"/>
      <c r="F38" s="160"/>
      <c r="G38" s="160"/>
      <c r="H38" s="91"/>
      <c r="I38" s="91"/>
      <c r="J38" s="99"/>
      <c r="K38" s="99"/>
      <c r="L38" s="99">
        <f>+'Proyectos Inmob detall'!G508</f>
        <v>2427.513114233052</v>
      </c>
      <c r="M38" s="99">
        <f>+'Proyectos Inmob detall'!H508</f>
        <v>2214.5725542069481</v>
      </c>
      <c r="N38" s="99">
        <f>+'Proyectos Inmob detall'!I508</f>
        <v>2440.5548670742428</v>
      </c>
      <c r="O38" s="99">
        <f>+'Proyectos Inmob detall'!J508</f>
        <v>2290.8751416957571</v>
      </c>
      <c r="P38" s="99">
        <f>+'Proyectos Inmob detall'!K508</f>
        <v>448.35599999999999</v>
      </c>
      <c r="Q38" s="99">
        <f>+'Proyectos Inmob detall'!L508</f>
        <v>444.65724999999998</v>
      </c>
      <c r="R38" s="99">
        <f>+'Proyectos Inmob detall'!M508</f>
        <v>596.49374999999986</v>
      </c>
      <c r="S38" s="99">
        <f>+'Proyectos Inmob detall'!N508</f>
        <v>0</v>
      </c>
      <c r="T38" s="99">
        <f>+'Proyectos Inmob detall'!O508</f>
        <v>0</v>
      </c>
      <c r="U38" s="99">
        <f>+'Proyectos Inmob detall'!P508</f>
        <v>0</v>
      </c>
      <c r="V38" s="99">
        <f>+'Proyectos Inmob detall'!Q508</f>
        <v>0</v>
      </c>
      <c r="W38" s="99">
        <f>+'Proyectos Inmob detall'!R508</f>
        <v>0</v>
      </c>
      <c r="X38" s="99">
        <f>+'Proyectos Inmob detall'!S508</f>
        <v>0</v>
      </c>
      <c r="Y38" s="99">
        <f>+'Proyectos Inmob detall'!T508</f>
        <v>0</v>
      </c>
      <c r="Z38" s="99">
        <f>+'Proyectos Inmob detall'!U508</f>
        <v>0</v>
      </c>
      <c r="AA38" s="99">
        <f>+'Proyectos Inmob detall'!V508</f>
        <v>0</v>
      </c>
      <c r="AB38" s="99">
        <f>+'Proyectos Inmob detall'!W508</f>
        <v>0</v>
      </c>
      <c r="AC38" s="99">
        <f>+'Proyectos Inmob detall'!X508</f>
        <v>0</v>
      </c>
      <c r="AD38" s="99">
        <f>+'Proyectos Inmob detall'!Y508</f>
        <v>0</v>
      </c>
      <c r="AE38" s="99">
        <f>+'Proyectos Inmob detall'!Z508</f>
        <v>0</v>
      </c>
      <c r="AF38" s="99">
        <f>+'Proyectos Inmob detall'!AA508</f>
        <v>0</v>
      </c>
    </row>
    <row r="39" spans="2:32" s="4" customFormat="1" hidden="1" outlineLevel="3">
      <c r="B39" s="160" t="s">
        <v>14</v>
      </c>
      <c r="C39" s="160"/>
      <c r="D39" s="160"/>
      <c r="E39" s="160"/>
      <c r="F39" s="160"/>
      <c r="G39" s="160"/>
      <c r="H39" s="91"/>
      <c r="I39" s="91"/>
      <c r="J39" s="99"/>
      <c r="K39" s="99"/>
      <c r="L39" s="99">
        <f>+'Proyectos Inmob detall'!G590</f>
        <v>0</v>
      </c>
      <c r="M39" s="99">
        <f>+'Proyectos Inmob detall'!H590</f>
        <v>135.13500000000002</v>
      </c>
      <c r="N39" s="99">
        <f>+'Proyectos Inmob detall'!I590</f>
        <v>631.15332903225817</v>
      </c>
      <c r="O39" s="99">
        <f>+'Proyectos Inmob detall'!J590</f>
        <v>1583.0423793548389</v>
      </c>
      <c r="P39" s="99">
        <f>+'Proyectos Inmob detall'!K590</f>
        <v>2906.4202117367749</v>
      </c>
      <c r="Q39" s="99">
        <f>+'Proyectos Inmob detall'!L590</f>
        <v>4384.008667604955</v>
      </c>
      <c r="R39" s="99">
        <f>+'Proyectos Inmob detall'!M590</f>
        <v>6103.2481539091532</v>
      </c>
      <c r="S39" s="99">
        <f>+'Proyectos Inmob detall'!N590</f>
        <v>7619.6617472299768</v>
      </c>
      <c r="T39" s="99">
        <f>+'Proyectos Inmob detall'!O590</f>
        <v>9012.5692859566861</v>
      </c>
      <c r="U39" s="99">
        <f>+'Proyectos Inmob detall'!P590</f>
        <v>9899.9578192162226</v>
      </c>
      <c r="V39" s="99">
        <f>+'Proyectos Inmob detall'!Q590</f>
        <v>10863.269505841663</v>
      </c>
      <c r="W39" s="99">
        <f>+'Proyectos Inmob detall'!R590</f>
        <v>11860.433561212461</v>
      </c>
      <c r="X39" s="99">
        <f>+'Proyectos Inmob detall'!S590</f>
        <v>12465.503418249544</v>
      </c>
      <c r="Y39" s="99">
        <f>+'Proyectos Inmob detall'!T590</f>
        <v>11996.428297078393</v>
      </c>
      <c r="Z39" s="99">
        <f>+'Proyectos Inmob detall'!U590</f>
        <v>12234.606348350635</v>
      </c>
      <c r="AA39" s="99">
        <f>+'Proyectos Inmob detall'!V590</f>
        <v>12653.355938686664</v>
      </c>
      <c r="AB39" s="99">
        <f>+'Proyectos Inmob detall'!W590</f>
        <v>13259.399158851302</v>
      </c>
      <c r="AC39" s="99">
        <f>+'Proyectos Inmob detall'!X590</f>
        <v>13170.682706602191</v>
      </c>
      <c r="AD39" s="99">
        <f>+'Proyectos Inmob detall'!Y590</f>
        <v>15772.838550238048</v>
      </c>
      <c r="AE39" s="99">
        <f>+'Proyectos Inmob detall'!Z590</f>
        <v>15179.308878316879</v>
      </c>
      <c r="AF39" s="99">
        <f>+'Proyectos Inmob detall'!AA590</f>
        <v>15480.680096379958</v>
      </c>
    </row>
    <row r="40" spans="2:32" hidden="1" outlineLevel="2" collapsed="1">
      <c r="B40" s="91"/>
      <c r="C40" s="91"/>
      <c r="D40" s="91"/>
      <c r="E40" s="91"/>
      <c r="F40" s="91"/>
      <c r="G40" s="91"/>
      <c r="H40" s="91"/>
      <c r="I40" s="91"/>
      <c r="J40" s="99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2:32" outlineLevel="1" collapsed="1">
      <c r="B41" s="101" t="s">
        <v>297</v>
      </c>
      <c r="C41" s="101"/>
      <c r="D41" s="101"/>
      <c r="E41" s="101"/>
      <c r="F41" s="101"/>
      <c r="G41" s="101"/>
      <c r="H41" s="101"/>
      <c r="I41" s="101"/>
      <c r="J41" s="102"/>
      <c r="K41" s="103"/>
      <c r="L41" s="104">
        <f t="shared" ref="L41:Q41" si="9">+L24/L5</f>
        <v>0.28280051503388687</v>
      </c>
      <c r="M41" s="104">
        <f t="shared" si="9"/>
        <v>0.25342758869390547</v>
      </c>
      <c r="N41" s="104">
        <f t="shared" si="9"/>
        <v>0.24357413673743622</v>
      </c>
      <c r="O41" s="104">
        <f t="shared" si="9"/>
        <v>0.34541158127865779</v>
      </c>
      <c r="P41" s="104">
        <f t="shared" si="9"/>
        <v>0.25693786282831915</v>
      </c>
      <c r="Q41" s="104">
        <f t="shared" si="9"/>
        <v>0.27754988368176248</v>
      </c>
      <c r="R41" s="104">
        <f>+R24/R5</f>
        <v>0.32265518014593064</v>
      </c>
      <c r="S41" s="104">
        <f t="shared" ref="S41:AF41" si="10">+S24/S5</f>
        <v>0.33512558906151307</v>
      </c>
      <c r="T41" s="104">
        <f t="shared" si="10"/>
        <v>0.35680159624769053</v>
      </c>
      <c r="U41" s="104">
        <f t="shared" si="10"/>
        <v>0.3630559777316702</v>
      </c>
      <c r="V41" s="104">
        <f t="shared" si="10"/>
        <v>0.36789460811736746</v>
      </c>
      <c r="W41" s="104">
        <f t="shared" si="10"/>
        <v>0.37580698163409187</v>
      </c>
      <c r="X41" s="104">
        <f t="shared" si="10"/>
        <v>0.3665448301358919</v>
      </c>
      <c r="Y41" s="104">
        <f t="shared" si="10"/>
        <v>0.3381373522650209</v>
      </c>
      <c r="Z41" s="104">
        <f t="shared" si="10"/>
        <v>0.33088635539267564</v>
      </c>
      <c r="AA41" s="104">
        <f t="shared" si="10"/>
        <v>0.32638358083459085</v>
      </c>
      <c r="AB41" s="104">
        <f t="shared" si="10"/>
        <v>0.32343864030364089</v>
      </c>
      <c r="AC41" s="104">
        <f t="shared" si="10"/>
        <v>0.31479969558434434</v>
      </c>
      <c r="AD41" s="104">
        <f t="shared" si="10"/>
        <v>0.32990685931003078</v>
      </c>
      <c r="AE41" s="104">
        <f t="shared" si="10"/>
        <v>0.30294339062509473</v>
      </c>
      <c r="AF41" s="104">
        <f t="shared" si="10"/>
        <v>0.29607365600470409</v>
      </c>
    </row>
    <row r="42" spans="2:32">
      <c r="B42" s="7"/>
      <c r="C42" s="7"/>
      <c r="D42" s="7"/>
      <c r="E42" s="7"/>
      <c r="F42" s="7"/>
      <c r="G42" s="7"/>
      <c r="H42" s="7"/>
      <c r="I42" s="7"/>
      <c r="J42" s="105"/>
      <c r="K42" s="65"/>
      <c r="L42" s="65"/>
      <c r="M42" s="65"/>
      <c r="N42" s="65"/>
      <c r="O42" s="65"/>
      <c r="P42" s="65"/>
      <c r="Q42" s="106"/>
      <c r="R42" s="106"/>
      <c r="S42" s="106"/>
      <c r="T42" s="106"/>
      <c r="U42" s="106"/>
      <c r="V42" s="106"/>
      <c r="W42" s="106"/>
      <c r="X42" s="65"/>
      <c r="Y42" s="65"/>
      <c r="Z42" s="65"/>
      <c r="AA42" s="65"/>
      <c r="AB42" s="65"/>
      <c r="AC42" s="65"/>
      <c r="AD42" s="65"/>
      <c r="AE42" s="65"/>
      <c r="AF42" s="65"/>
    </row>
    <row r="43" spans="2:32">
      <c r="B43" s="94" t="s">
        <v>15</v>
      </c>
      <c r="C43" s="94"/>
      <c r="D43" s="94"/>
      <c r="E43" s="94"/>
      <c r="F43" s="94"/>
      <c r="G43" s="94"/>
      <c r="H43" s="94"/>
      <c r="I43" s="94"/>
      <c r="J43" s="97">
        <f t="shared" ref="J43:AF43" si="11">+SUBTOTAL(9,J44:J76)</f>
        <v>0</v>
      </c>
      <c r="K43" s="97">
        <f t="shared" si="11"/>
        <v>17458</v>
      </c>
      <c r="L43" s="97">
        <f t="shared" si="11"/>
        <v>18798.893877016919</v>
      </c>
      <c r="M43" s="97">
        <f t="shared" si="11"/>
        <v>9366.1349948849165</v>
      </c>
      <c r="N43" s="97">
        <f t="shared" si="11"/>
        <v>14348.159265019396</v>
      </c>
      <c r="O43" s="97">
        <f t="shared" si="11"/>
        <v>25078.468314644007</v>
      </c>
      <c r="P43" s="97">
        <f t="shared" si="11"/>
        <v>29803.665114480558</v>
      </c>
      <c r="Q43" s="97">
        <f t="shared" si="11"/>
        <v>39914.723887191751</v>
      </c>
      <c r="R43" s="97">
        <f t="shared" si="11"/>
        <v>47929.985561168709</v>
      </c>
      <c r="S43" s="97">
        <f t="shared" si="11"/>
        <v>52935.901499001906</v>
      </c>
      <c r="T43" s="97">
        <f t="shared" si="11"/>
        <v>59848.982983508933</v>
      </c>
      <c r="U43" s="97">
        <f t="shared" si="11"/>
        <v>65076.343462181037</v>
      </c>
      <c r="V43" s="97">
        <f t="shared" si="11"/>
        <v>70573.797310923706</v>
      </c>
      <c r="W43" s="97">
        <f t="shared" si="11"/>
        <v>75644.601774872455</v>
      </c>
      <c r="X43" s="97">
        <f t="shared" si="11"/>
        <v>79375.16669616662</v>
      </c>
      <c r="Y43" s="97">
        <f t="shared" si="11"/>
        <v>79333.394832762846</v>
      </c>
      <c r="Z43" s="97">
        <f t="shared" si="11"/>
        <v>83225.426440598065</v>
      </c>
      <c r="AA43" s="97">
        <f t="shared" si="11"/>
        <v>87947.125019697953</v>
      </c>
      <c r="AB43" s="97">
        <f t="shared" si="11"/>
        <v>93389.634561731698</v>
      </c>
      <c r="AC43" s="97">
        <f t="shared" si="11"/>
        <v>95747.902716398588</v>
      </c>
      <c r="AD43" s="97">
        <f t="shared" si="11"/>
        <v>107121.42611821898</v>
      </c>
      <c r="AE43" s="97">
        <f t="shared" si="11"/>
        <v>107558.55943147716</v>
      </c>
      <c r="AF43" s="97">
        <f t="shared" si="11"/>
        <v>113009.1154159643</v>
      </c>
    </row>
    <row r="44" spans="2:32" s="4" customFormat="1" outlineLevel="1">
      <c r="B44" s="156" t="s">
        <v>19</v>
      </c>
      <c r="C44" s="156"/>
      <c r="D44" s="156"/>
      <c r="E44" s="156"/>
      <c r="F44" s="156"/>
      <c r="G44" s="156"/>
      <c r="H44" s="156"/>
      <c r="I44" s="156"/>
      <c r="J44" s="161">
        <f t="shared" ref="J44:AF44" si="12">+SUBTOTAL(9,J45:J59)</f>
        <v>0</v>
      </c>
      <c r="K44" s="161">
        <f t="shared" si="12"/>
        <v>17458</v>
      </c>
      <c r="L44" s="161">
        <f t="shared" si="12"/>
        <v>12900</v>
      </c>
      <c r="M44" s="161">
        <f t="shared" si="12"/>
        <v>2663.2749999999996</v>
      </c>
      <c r="N44" s="161">
        <f t="shared" si="12"/>
        <v>6580.474400000001</v>
      </c>
      <c r="O44" s="161">
        <f t="shared" si="12"/>
        <v>11688.281375999999</v>
      </c>
      <c r="P44" s="161">
        <f t="shared" si="12"/>
        <v>16109.41663104</v>
      </c>
      <c r="Q44" s="161">
        <f t="shared" si="12"/>
        <v>20755.475881881601</v>
      </c>
      <c r="R44" s="161">
        <f t="shared" si="12"/>
        <v>22186.611909156865</v>
      </c>
      <c r="S44" s="161">
        <f t="shared" si="12"/>
        <v>23719.028574696906</v>
      </c>
      <c r="T44" s="161">
        <f t="shared" si="12"/>
        <v>25360.004003281196</v>
      </c>
      <c r="U44" s="161">
        <f t="shared" si="12"/>
        <v>27117.343911857362</v>
      </c>
      <c r="V44" s="161">
        <f t="shared" si="12"/>
        <v>28999.420041542617</v>
      </c>
      <c r="W44" s="161">
        <f t="shared" si="12"/>
        <v>30426.838891179283</v>
      </c>
      <c r="X44" s="161">
        <f t="shared" si="12"/>
        <v>32542.860053843717</v>
      </c>
      <c r="Y44" s="161">
        <f t="shared" si="12"/>
        <v>34809.396943656953</v>
      </c>
      <c r="Z44" s="161">
        <f t="shared" si="12"/>
        <v>37237.297500958412</v>
      </c>
      <c r="AA44" s="161">
        <f t="shared" si="12"/>
        <v>39838.197329069735</v>
      </c>
      <c r="AB44" s="161">
        <f t="shared" si="12"/>
        <v>42624.577123274692</v>
      </c>
      <c r="AC44" s="161">
        <f t="shared" si="12"/>
        <v>44729.642735815229</v>
      </c>
      <c r="AD44" s="161">
        <f t="shared" si="12"/>
        <v>47863.617843651242</v>
      </c>
      <c r="AE44" s="161">
        <f t="shared" si="12"/>
        <v>51221.498122915698</v>
      </c>
      <c r="AF44" s="161">
        <f t="shared" si="12"/>
        <v>54819.461243591926</v>
      </c>
    </row>
    <row r="45" spans="2:32" s="5" customFormat="1" hidden="1" outlineLevel="2">
      <c r="B45" s="159" t="s">
        <v>7</v>
      </c>
      <c r="C45" s="159"/>
      <c r="D45" s="159"/>
      <c r="E45" s="159"/>
      <c r="F45" s="159"/>
      <c r="G45" s="159"/>
      <c r="H45" s="157"/>
      <c r="I45" s="157"/>
      <c r="J45" s="162">
        <f>+SUBTOTAL(9,J46:J47)</f>
        <v>0</v>
      </c>
      <c r="K45" s="162">
        <f t="shared" ref="K45:AF45" si="13">+SUBTOTAL(9,K46:K47)</f>
        <v>1727</v>
      </c>
      <c r="L45" s="162">
        <f t="shared" si="13"/>
        <v>3177</v>
      </c>
      <c r="M45" s="162">
        <f t="shared" si="13"/>
        <v>837.7</v>
      </c>
      <c r="N45" s="162">
        <f t="shared" si="13"/>
        <v>1256.55</v>
      </c>
      <c r="O45" s="162">
        <f t="shared" si="13"/>
        <v>1775.4</v>
      </c>
      <c r="P45" s="162">
        <f t="shared" si="13"/>
        <v>2308.02</v>
      </c>
      <c r="Q45" s="162">
        <f t="shared" si="13"/>
        <v>2400.3407999999999</v>
      </c>
      <c r="R45" s="162">
        <f t="shared" si="13"/>
        <v>2496.3544320000001</v>
      </c>
      <c r="S45" s="162">
        <f t="shared" si="13"/>
        <v>2596.20860928</v>
      </c>
      <c r="T45" s="162">
        <f t="shared" si="13"/>
        <v>2700.0569536512003</v>
      </c>
      <c r="U45" s="162">
        <f t="shared" si="13"/>
        <v>2808.0592317972482</v>
      </c>
      <c r="V45" s="162">
        <f t="shared" si="13"/>
        <v>2920.3816010691385</v>
      </c>
      <c r="W45" s="162">
        <f t="shared" si="13"/>
        <v>3037.1968651119041</v>
      </c>
      <c r="X45" s="162">
        <f t="shared" si="13"/>
        <v>3158.6847397163806</v>
      </c>
      <c r="Y45" s="162">
        <f t="shared" si="13"/>
        <v>3285.0321293050361</v>
      </c>
      <c r="Z45" s="162">
        <f t="shared" si="13"/>
        <v>3416.4334144772374</v>
      </c>
      <c r="AA45" s="162">
        <f t="shared" si="13"/>
        <v>3553.090751056327</v>
      </c>
      <c r="AB45" s="162">
        <f t="shared" si="13"/>
        <v>3695.2143810985804</v>
      </c>
      <c r="AC45" s="162">
        <f t="shared" si="13"/>
        <v>3843.0229563425237</v>
      </c>
      <c r="AD45" s="162">
        <f t="shared" si="13"/>
        <v>3996.7438745962249</v>
      </c>
      <c r="AE45" s="162">
        <f t="shared" si="13"/>
        <v>4156.6136295800743</v>
      </c>
      <c r="AF45" s="162">
        <f t="shared" si="13"/>
        <v>4322.8781747632775</v>
      </c>
    </row>
    <row r="46" spans="2:32" s="5" customFormat="1" hidden="1" outlineLevel="3">
      <c r="B46" s="160" t="s">
        <v>13</v>
      </c>
      <c r="C46" s="160"/>
      <c r="D46" s="160"/>
      <c r="E46" s="160"/>
      <c r="F46" s="160"/>
      <c r="G46" s="160"/>
      <c r="H46" s="157"/>
      <c r="I46" s="157"/>
      <c r="J46" s="162"/>
      <c r="K46" s="163">
        <v>1727</v>
      </c>
      <c r="L46" s="163">
        <v>1677</v>
      </c>
      <c r="M46" s="163">
        <f>+M8*Proyecciones!H$38</f>
        <v>0</v>
      </c>
      <c r="N46" s="163">
        <f>+N8*Proyecciones!I$38</f>
        <v>0</v>
      </c>
      <c r="O46" s="163">
        <f>+O8*Proyecciones!J$38</f>
        <v>0</v>
      </c>
      <c r="P46" s="163">
        <f>+P8*Proyecciones!K$38</f>
        <v>0</v>
      </c>
      <c r="Q46" s="163">
        <f>+Q8*Proyecciones!L$38</f>
        <v>0</v>
      </c>
      <c r="R46" s="163">
        <f>+R8*Proyecciones!M$38</f>
        <v>0</v>
      </c>
      <c r="S46" s="163">
        <f>+S8*Proyecciones!N$38</f>
        <v>0</v>
      </c>
      <c r="T46" s="163">
        <f>+T8*Proyecciones!O$38</f>
        <v>0</v>
      </c>
      <c r="U46" s="163">
        <f>+U8*Proyecciones!P$38</f>
        <v>0</v>
      </c>
      <c r="V46" s="163">
        <f>+V8*Proyecciones!Q$38</f>
        <v>0</v>
      </c>
      <c r="W46" s="163">
        <f>+W8*Proyecciones!R$38</f>
        <v>0</v>
      </c>
      <c r="X46" s="163">
        <f>+X8*Proyecciones!S$38</f>
        <v>0</v>
      </c>
      <c r="Y46" s="163">
        <f>+Y8*Proyecciones!T$38</f>
        <v>0</v>
      </c>
      <c r="Z46" s="163">
        <f>+Z8*Proyecciones!U$38</f>
        <v>0</v>
      </c>
      <c r="AA46" s="163">
        <f>+AA8*Proyecciones!V$38</f>
        <v>0</v>
      </c>
      <c r="AB46" s="163">
        <f>+AB8*Proyecciones!W$38</f>
        <v>0</v>
      </c>
      <c r="AC46" s="163">
        <f>+AC8*Proyecciones!X$38</f>
        <v>0</v>
      </c>
      <c r="AD46" s="163">
        <f>+AD8*Proyecciones!Y$38</f>
        <v>0</v>
      </c>
      <c r="AE46" s="163">
        <f>+AE8*Proyecciones!Z$38</f>
        <v>0</v>
      </c>
      <c r="AF46" s="163">
        <f>+AF8*Proyecciones!AA$38</f>
        <v>0</v>
      </c>
    </row>
    <row r="47" spans="2:32" s="5" customFormat="1" hidden="1" outlineLevel="3">
      <c r="B47" s="160" t="s">
        <v>14</v>
      </c>
      <c r="C47" s="160"/>
      <c r="D47" s="160"/>
      <c r="E47" s="160"/>
      <c r="F47" s="160"/>
      <c r="G47" s="160"/>
      <c r="H47" s="164"/>
      <c r="I47" s="218"/>
      <c r="J47" s="162"/>
      <c r="K47" s="163"/>
      <c r="L47" s="163">
        <v>1500</v>
      </c>
      <c r="M47" s="163">
        <f>+M9*Proyecciones!H$38</f>
        <v>837.7</v>
      </c>
      <c r="N47" s="163">
        <f>+N9*Proyecciones!I$38</f>
        <v>1256.55</v>
      </c>
      <c r="O47" s="163">
        <f>+O9*Proyecciones!J$38</f>
        <v>1775.4</v>
      </c>
      <c r="P47" s="163">
        <f>+P9*Proyecciones!K$38</f>
        <v>2308.02</v>
      </c>
      <c r="Q47" s="163">
        <f>+Q9*Proyecciones!L$38</f>
        <v>2400.3407999999999</v>
      </c>
      <c r="R47" s="163">
        <f>+R9*Proyecciones!M$38</f>
        <v>2496.3544320000001</v>
      </c>
      <c r="S47" s="163">
        <f>+S9*Proyecciones!N$38</f>
        <v>2596.20860928</v>
      </c>
      <c r="T47" s="163">
        <f>+T9*Proyecciones!O$38</f>
        <v>2700.0569536512003</v>
      </c>
      <c r="U47" s="163">
        <f>+U9*Proyecciones!P$38</f>
        <v>2808.0592317972482</v>
      </c>
      <c r="V47" s="163">
        <f>+V9*Proyecciones!Q$38</f>
        <v>2920.3816010691385</v>
      </c>
      <c r="W47" s="163">
        <f>+W9*Proyecciones!R$38</f>
        <v>3037.1968651119041</v>
      </c>
      <c r="X47" s="163">
        <f>+X9*Proyecciones!S$38</f>
        <v>3158.6847397163806</v>
      </c>
      <c r="Y47" s="163">
        <f>+Y9*Proyecciones!T$38</f>
        <v>3285.0321293050361</v>
      </c>
      <c r="Z47" s="163">
        <f>+Z9*Proyecciones!U$38</f>
        <v>3416.4334144772374</v>
      </c>
      <c r="AA47" s="163">
        <f>+AA9*Proyecciones!V$38</f>
        <v>3553.090751056327</v>
      </c>
      <c r="AB47" s="163">
        <f>+AB9*Proyecciones!W$38</f>
        <v>3695.2143810985804</v>
      </c>
      <c r="AC47" s="163">
        <f>+AC9*Proyecciones!X$38</f>
        <v>3843.0229563425237</v>
      </c>
      <c r="AD47" s="163">
        <f>+AD9*Proyecciones!Y$38</f>
        <v>3996.7438745962249</v>
      </c>
      <c r="AE47" s="163">
        <f>+AE9*Proyecciones!Z$38</f>
        <v>4156.6136295800743</v>
      </c>
      <c r="AF47" s="163">
        <f>+AF9*Proyecciones!AA$38</f>
        <v>4322.8781747632775</v>
      </c>
    </row>
    <row r="48" spans="2:32" s="5" customFormat="1" hidden="1" outlineLevel="2" collapsed="1">
      <c r="B48" s="159" t="s">
        <v>6</v>
      </c>
      <c r="C48" s="159"/>
      <c r="D48" s="159"/>
      <c r="E48" s="159"/>
      <c r="F48" s="159"/>
      <c r="G48" s="159"/>
      <c r="H48" s="157"/>
      <c r="I48" s="157"/>
      <c r="J48" s="162">
        <f>+SUBTOTAL(9,J49:J50)</f>
        <v>0</v>
      </c>
      <c r="K48" s="162">
        <f t="shared" ref="K48:AE48" si="14">+SUBTOTAL(9,K49:K50)</f>
        <v>12624</v>
      </c>
      <c r="L48" s="162">
        <f t="shared" si="14"/>
        <v>9340</v>
      </c>
      <c r="M48" s="162">
        <f t="shared" si="14"/>
        <v>3000</v>
      </c>
      <c r="N48" s="162">
        <f t="shared" si="14"/>
        <v>5600</v>
      </c>
      <c r="O48" s="162">
        <f t="shared" si="14"/>
        <v>10200</v>
      </c>
      <c r="P48" s="162">
        <f t="shared" si="14"/>
        <v>14100</v>
      </c>
      <c r="Q48" s="162">
        <f t="shared" si="14"/>
        <v>18056.399999999998</v>
      </c>
      <c r="R48" s="162">
        <f t="shared" si="14"/>
        <v>19379.572992000001</v>
      </c>
      <c r="S48" s="162">
        <f t="shared" si="14"/>
        <v>20799.708100853764</v>
      </c>
      <c r="T48" s="162">
        <f t="shared" si="14"/>
        <v>22323.910710484332</v>
      </c>
      <c r="U48" s="162">
        <f t="shared" si="14"/>
        <v>23959.806887348623</v>
      </c>
      <c r="V48" s="162">
        <f t="shared" si="14"/>
        <v>25715.581536053531</v>
      </c>
      <c r="W48" s="162">
        <f t="shared" si="14"/>
        <v>27011.64684547063</v>
      </c>
      <c r="X48" s="162">
        <f t="shared" si="14"/>
        <v>28991.060326306717</v>
      </c>
      <c r="Y48" s="162">
        <f t="shared" si="14"/>
        <v>31115.525227018476</v>
      </c>
      <c r="Z48" s="162">
        <f t="shared" si="14"/>
        <v>33395.670915654395</v>
      </c>
      <c r="AA48" s="162">
        <f t="shared" si="14"/>
        <v>35842.905680353557</v>
      </c>
      <c r="AB48" s="162">
        <f t="shared" si="14"/>
        <v>38469.473808609866</v>
      </c>
      <c r="AC48" s="162">
        <f t="shared" si="14"/>
        <v>40408.335288563809</v>
      </c>
      <c r="AD48" s="162">
        <f t="shared" si="14"/>
        <v>43369.458098509764</v>
      </c>
      <c r="AE48" s="162">
        <f t="shared" si="14"/>
        <v>46547.571987968564</v>
      </c>
      <c r="AF48" s="163"/>
    </row>
    <row r="49" spans="2:32" s="5" customFormat="1" hidden="1" outlineLevel="3">
      <c r="B49" s="160" t="s">
        <v>13</v>
      </c>
      <c r="C49" s="160"/>
      <c r="D49" s="160"/>
      <c r="E49" s="160"/>
      <c r="F49" s="160"/>
      <c r="G49" s="160"/>
      <c r="H49" s="157"/>
      <c r="I49" s="157"/>
      <c r="J49" s="162"/>
      <c r="K49" s="163">
        <v>12624</v>
      </c>
      <c r="L49" s="163">
        <v>6940</v>
      </c>
      <c r="M49" s="163">
        <f>+M11*Proyecciones!H$41</f>
        <v>2670</v>
      </c>
      <c r="N49" s="163">
        <f>+N11*Proyecciones!I$41</f>
        <v>0</v>
      </c>
      <c r="O49" s="163">
        <f>+O11*Proyecciones!J$41</f>
        <v>0</v>
      </c>
      <c r="P49" s="163">
        <f>+P11*Proyecciones!K$41</f>
        <v>0</v>
      </c>
      <c r="Q49" s="163">
        <f>+Q11*Proyecciones!L$41</f>
        <v>0</v>
      </c>
      <c r="R49" s="163">
        <f>+R11*Proyecciones!M$41</f>
        <v>0</v>
      </c>
      <c r="S49" s="163">
        <f>+S11*Proyecciones!N$41</f>
        <v>0</v>
      </c>
      <c r="T49" s="163">
        <f>+T11*Proyecciones!O$41</f>
        <v>0</v>
      </c>
      <c r="U49" s="163">
        <f>+U11*Proyecciones!P$41</f>
        <v>0</v>
      </c>
      <c r="V49" s="163">
        <f>+V11*Proyecciones!Q$41</f>
        <v>0</v>
      </c>
      <c r="W49" s="163">
        <f>+W11*Proyecciones!R$41</f>
        <v>0</v>
      </c>
      <c r="X49" s="163">
        <f>+X11*Proyecciones!S$41</f>
        <v>0</v>
      </c>
      <c r="Y49" s="163">
        <f>+Y11*Proyecciones!T$41</f>
        <v>0</v>
      </c>
      <c r="Z49" s="163">
        <f>+Z11*Proyecciones!U$41</f>
        <v>0</v>
      </c>
      <c r="AA49" s="163">
        <f>+AA11*Proyecciones!V$41</f>
        <v>0</v>
      </c>
      <c r="AB49" s="163">
        <f>+AB11*Proyecciones!W$41</f>
        <v>0</v>
      </c>
      <c r="AC49" s="163">
        <f>+AC11*Proyecciones!X$41</f>
        <v>0</v>
      </c>
      <c r="AD49" s="163">
        <f>+AD11*Proyecciones!Y$41</f>
        <v>0</v>
      </c>
      <c r="AE49" s="163">
        <f>+AE11*Proyecciones!Z$41</f>
        <v>0</v>
      </c>
      <c r="AF49" s="163">
        <f>+AF11*Proyecciones!AA$41</f>
        <v>0</v>
      </c>
    </row>
    <row r="50" spans="2:32" s="5" customFormat="1" hidden="1" outlineLevel="3">
      <c r="B50" s="160" t="s">
        <v>14</v>
      </c>
      <c r="C50" s="160"/>
      <c r="D50" s="160"/>
      <c r="E50" s="160"/>
      <c r="F50" s="160"/>
      <c r="G50" s="160"/>
      <c r="H50" s="164"/>
      <c r="I50" s="217"/>
      <c r="J50" s="162"/>
      <c r="K50" s="163"/>
      <c r="L50" s="163">
        <v>2400</v>
      </c>
      <c r="M50" s="163">
        <f>+M12*Proyecciones!H$41</f>
        <v>330</v>
      </c>
      <c r="N50" s="163">
        <f>+N12*Proyecciones!I$41</f>
        <v>5600</v>
      </c>
      <c r="O50" s="163">
        <f>+O12*Proyecciones!J$41</f>
        <v>10200</v>
      </c>
      <c r="P50" s="163">
        <f>+P12*Proyecciones!K$41</f>
        <v>14100</v>
      </c>
      <c r="Q50" s="163">
        <f>+Q12*Proyecciones!L$41</f>
        <v>18056.399999999998</v>
      </c>
      <c r="R50" s="163">
        <f>+R12*Proyecciones!M$41</f>
        <v>19379.572992000001</v>
      </c>
      <c r="S50" s="163">
        <f>+S12*Proyecciones!N$41</f>
        <v>20799.708100853764</v>
      </c>
      <c r="T50" s="163">
        <f>+T12*Proyecciones!O$41</f>
        <v>22323.910710484332</v>
      </c>
      <c r="U50" s="163">
        <f>+U12*Proyecciones!P$41</f>
        <v>23959.806887348623</v>
      </c>
      <c r="V50" s="163">
        <f>+V12*Proyecciones!Q$41</f>
        <v>25715.581536053531</v>
      </c>
      <c r="W50" s="163">
        <f>+W12*Proyecciones!R$41</f>
        <v>27011.64684547063</v>
      </c>
      <c r="X50" s="163">
        <f>+X12*Proyecciones!S$41</f>
        <v>28991.060326306717</v>
      </c>
      <c r="Y50" s="163">
        <f>+Y12*Proyecciones!T$41</f>
        <v>31115.525227018476</v>
      </c>
      <c r="Z50" s="163">
        <f>+Z12*Proyecciones!U$41</f>
        <v>33395.670915654395</v>
      </c>
      <c r="AA50" s="163">
        <f>+AA12*Proyecciones!V$41</f>
        <v>35842.905680353557</v>
      </c>
      <c r="AB50" s="163">
        <f>+AB12*Proyecciones!W$41</f>
        <v>38469.473808609866</v>
      </c>
      <c r="AC50" s="163">
        <f>+AC12*Proyecciones!X$41</f>
        <v>40408.335288563809</v>
      </c>
      <c r="AD50" s="163">
        <f>+AD12*Proyecciones!Y$41</f>
        <v>43369.458098509764</v>
      </c>
      <c r="AE50" s="163">
        <f>+AE12*Proyecciones!Z$41</f>
        <v>46547.571987968564</v>
      </c>
      <c r="AF50" s="163">
        <f>+AF12*Proyecciones!AA$41</f>
        <v>49958.57806324691</v>
      </c>
    </row>
    <row r="51" spans="2:32" s="5" customFormat="1" hidden="1" outlineLevel="2" collapsed="1">
      <c r="B51" s="159" t="s">
        <v>8</v>
      </c>
      <c r="C51" s="159"/>
      <c r="D51" s="159"/>
      <c r="E51" s="159"/>
      <c r="F51" s="159"/>
      <c r="G51" s="159"/>
      <c r="H51" s="157"/>
      <c r="I51" s="157"/>
      <c r="J51" s="162">
        <f>+SUBTOTAL(9,J52:J53)</f>
        <v>0</v>
      </c>
      <c r="K51" s="162">
        <f t="shared" ref="K51:AE51" si="15">+SUBTOTAL(9,K52:K53)</f>
        <v>1407</v>
      </c>
      <c r="L51" s="162">
        <f t="shared" si="15"/>
        <v>583</v>
      </c>
      <c r="M51" s="162">
        <f t="shared" si="15"/>
        <v>170.24</v>
      </c>
      <c r="N51" s="162">
        <f t="shared" si="15"/>
        <v>265.57439999999997</v>
      </c>
      <c r="O51" s="162">
        <f t="shared" si="15"/>
        <v>276.19737600000002</v>
      </c>
      <c r="P51" s="162">
        <f t="shared" si="15"/>
        <v>287.24527103999998</v>
      </c>
      <c r="Q51" s="162">
        <f t="shared" si="15"/>
        <v>298.73508188159997</v>
      </c>
      <c r="R51" s="162">
        <f t="shared" si="15"/>
        <v>310.68448515686401</v>
      </c>
      <c r="S51" s="162">
        <f t="shared" si="15"/>
        <v>323.11186456313857</v>
      </c>
      <c r="T51" s="162">
        <f t="shared" si="15"/>
        <v>336.03633914566416</v>
      </c>
      <c r="U51" s="162">
        <f t="shared" si="15"/>
        <v>349.47779271149079</v>
      </c>
      <c r="V51" s="162">
        <f t="shared" si="15"/>
        <v>363.45690441995038</v>
      </c>
      <c r="W51" s="162">
        <f t="shared" si="15"/>
        <v>377.99518059674841</v>
      </c>
      <c r="X51" s="162">
        <f t="shared" si="15"/>
        <v>393.11498782061841</v>
      </c>
      <c r="Y51" s="162">
        <f t="shared" si="15"/>
        <v>408.83958733344315</v>
      </c>
      <c r="Z51" s="162">
        <f t="shared" si="15"/>
        <v>425.19317082678094</v>
      </c>
      <c r="AA51" s="162">
        <f t="shared" si="15"/>
        <v>442.20089765985216</v>
      </c>
      <c r="AB51" s="162">
        <f t="shared" si="15"/>
        <v>459.88893356624624</v>
      </c>
      <c r="AC51" s="162">
        <f t="shared" si="15"/>
        <v>478.28449090889609</v>
      </c>
      <c r="AD51" s="162">
        <f t="shared" si="15"/>
        <v>497.41587054525189</v>
      </c>
      <c r="AE51" s="162">
        <f t="shared" si="15"/>
        <v>517.31250536706204</v>
      </c>
      <c r="AF51" s="163"/>
    </row>
    <row r="52" spans="2:32" s="5" customFormat="1" hidden="1" outlineLevel="3">
      <c r="B52" s="160" t="s">
        <v>13</v>
      </c>
      <c r="C52" s="160"/>
      <c r="D52" s="160"/>
      <c r="E52" s="160"/>
      <c r="F52" s="160"/>
      <c r="G52" s="160"/>
      <c r="H52" s="157"/>
      <c r="I52" s="157"/>
      <c r="J52" s="162"/>
      <c r="K52" s="163">
        <v>1407</v>
      </c>
      <c r="L52" s="163">
        <f>583/L13*L14</f>
        <v>583</v>
      </c>
      <c r="M52" s="163">
        <f>+M14*Proyecciones!H$42</f>
        <v>0</v>
      </c>
      <c r="N52" s="163">
        <f>+N14*Proyecciones!I$42</f>
        <v>0</v>
      </c>
      <c r="O52" s="163">
        <f>+O14*Proyecciones!J$42</f>
        <v>0</v>
      </c>
      <c r="P52" s="163">
        <f>+P14*Proyecciones!K$42</f>
        <v>0</v>
      </c>
      <c r="Q52" s="163">
        <f>+Q14*Proyecciones!L$42</f>
        <v>0</v>
      </c>
      <c r="R52" s="163">
        <f>+R14*Proyecciones!M$42</f>
        <v>0</v>
      </c>
      <c r="S52" s="163">
        <f>+S14*Proyecciones!N$42</f>
        <v>0</v>
      </c>
      <c r="T52" s="163">
        <f>+T14*Proyecciones!O$42</f>
        <v>0</v>
      </c>
      <c r="U52" s="163">
        <f>+U14*Proyecciones!P$42</f>
        <v>0</v>
      </c>
      <c r="V52" s="163">
        <f>+V14*Proyecciones!Q$42</f>
        <v>0</v>
      </c>
      <c r="W52" s="163">
        <f>+W14*Proyecciones!R$42</f>
        <v>0</v>
      </c>
      <c r="X52" s="163">
        <f>+X14*Proyecciones!S$42</f>
        <v>0</v>
      </c>
      <c r="Y52" s="163">
        <f>+Y14*Proyecciones!T$42</f>
        <v>0</v>
      </c>
      <c r="Z52" s="163">
        <f>+Z14*Proyecciones!U$42</f>
        <v>0</v>
      </c>
      <c r="AA52" s="163">
        <f>+AA14*Proyecciones!V$42</f>
        <v>0</v>
      </c>
      <c r="AB52" s="163">
        <f>+AB14*Proyecciones!W$42</f>
        <v>0</v>
      </c>
      <c r="AC52" s="163">
        <f>+AC14*Proyecciones!X$42</f>
        <v>0</v>
      </c>
      <c r="AD52" s="163">
        <f>+AD14*Proyecciones!Y$42</f>
        <v>0</v>
      </c>
      <c r="AE52" s="163">
        <f>+AE14*Proyecciones!Z$42</f>
        <v>0</v>
      </c>
      <c r="AF52" s="163">
        <f>+AF14*Proyecciones!AA$42</f>
        <v>0</v>
      </c>
    </row>
    <row r="53" spans="2:32" s="5" customFormat="1" hidden="1" outlineLevel="3">
      <c r="B53" s="160" t="s">
        <v>14</v>
      </c>
      <c r="C53" s="160"/>
      <c r="D53" s="160"/>
      <c r="E53" s="160"/>
      <c r="F53" s="160"/>
      <c r="G53" s="160"/>
      <c r="H53" s="164" t="s">
        <v>189</v>
      </c>
      <c r="I53" s="227">
        <f>+Proyecciones!E42</f>
        <v>0.14000000000000001</v>
      </c>
      <c r="J53" s="162"/>
      <c r="K53" s="163"/>
      <c r="L53" s="163">
        <f>583-L52</f>
        <v>0</v>
      </c>
      <c r="M53" s="163">
        <f>+M15*Proyecciones!H$42</f>
        <v>170.24</v>
      </c>
      <c r="N53" s="163">
        <f>+N15*Proyecciones!I$42</f>
        <v>265.57439999999997</v>
      </c>
      <c r="O53" s="163">
        <f>+O15*Proyecciones!J$42</f>
        <v>276.19737600000002</v>
      </c>
      <c r="P53" s="163">
        <f>+P15*Proyecciones!K$42</f>
        <v>287.24527103999998</v>
      </c>
      <c r="Q53" s="163">
        <f>+Q15*Proyecciones!L$42</f>
        <v>298.73508188159997</v>
      </c>
      <c r="R53" s="163">
        <f>+R15*Proyecciones!M$42</f>
        <v>310.68448515686401</v>
      </c>
      <c r="S53" s="163">
        <f>+S15*Proyecciones!N$42</f>
        <v>323.11186456313857</v>
      </c>
      <c r="T53" s="163">
        <f>+T15*Proyecciones!O$42</f>
        <v>336.03633914566416</v>
      </c>
      <c r="U53" s="163">
        <f>+U15*Proyecciones!P$42</f>
        <v>349.47779271149079</v>
      </c>
      <c r="V53" s="163">
        <f>+V15*Proyecciones!Q$42</f>
        <v>363.45690441995038</v>
      </c>
      <c r="W53" s="163">
        <f>+W15*Proyecciones!R$42</f>
        <v>377.99518059674841</v>
      </c>
      <c r="X53" s="163">
        <f>+X15*Proyecciones!S$42</f>
        <v>393.11498782061841</v>
      </c>
      <c r="Y53" s="163">
        <f>+Y15*Proyecciones!T$42</f>
        <v>408.83958733344315</v>
      </c>
      <c r="Z53" s="163">
        <f>+Z15*Proyecciones!U$42</f>
        <v>425.19317082678094</v>
      </c>
      <c r="AA53" s="163">
        <f>+AA15*Proyecciones!V$42</f>
        <v>442.20089765985216</v>
      </c>
      <c r="AB53" s="163">
        <f>+AB15*Proyecciones!W$42</f>
        <v>459.88893356624624</v>
      </c>
      <c r="AC53" s="163">
        <f>+AC15*Proyecciones!X$42</f>
        <v>478.28449090889609</v>
      </c>
      <c r="AD53" s="163">
        <f>+AD15*Proyecciones!Y$42</f>
        <v>497.41587054525189</v>
      </c>
      <c r="AE53" s="163">
        <f>+AE15*Proyecciones!Z$42</f>
        <v>517.31250536706204</v>
      </c>
      <c r="AF53" s="163">
        <f>+AF15*Proyecciones!AA$42</f>
        <v>538.00500558174451</v>
      </c>
    </row>
    <row r="54" spans="2:32" s="5" customFormat="1" hidden="1" outlineLevel="2" collapsed="1">
      <c r="B54" s="159" t="s">
        <v>9</v>
      </c>
      <c r="C54" s="159"/>
      <c r="D54" s="159"/>
      <c r="E54" s="159"/>
      <c r="F54" s="159"/>
      <c r="G54" s="159"/>
      <c r="H54" s="157"/>
      <c r="I54" s="157"/>
      <c r="J54" s="162">
        <f>+SUBTOTAL(9,J55:J56)</f>
        <v>0</v>
      </c>
      <c r="K54" s="162">
        <f t="shared" ref="K54:AF54" si="16">+SUBTOTAL(9,K55:K56)</f>
        <v>-152</v>
      </c>
      <c r="L54" s="162">
        <f t="shared" si="16"/>
        <v>-200</v>
      </c>
      <c r="M54" s="162">
        <f t="shared" si="16"/>
        <v>-1344.665</v>
      </c>
      <c r="N54" s="162">
        <f t="shared" si="16"/>
        <v>-541.65</v>
      </c>
      <c r="O54" s="162">
        <f t="shared" si="16"/>
        <v>-563.31600000000003</v>
      </c>
      <c r="P54" s="162">
        <f t="shared" si="16"/>
        <v>-585.84863999999993</v>
      </c>
      <c r="Q54" s="162">
        <f t="shared" si="16"/>
        <v>0</v>
      </c>
      <c r="R54" s="162">
        <f t="shared" si="16"/>
        <v>0</v>
      </c>
      <c r="S54" s="162">
        <f t="shared" si="16"/>
        <v>0</v>
      </c>
      <c r="T54" s="162">
        <f t="shared" si="16"/>
        <v>0</v>
      </c>
      <c r="U54" s="162">
        <f t="shared" si="16"/>
        <v>0</v>
      </c>
      <c r="V54" s="162">
        <f t="shared" si="16"/>
        <v>0</v>
      </c>
      <c r="W54" s="162">
        <f t="shared" si="16"/>
        <v>0</v>
      </c>
      <c r="X54" s="162">
        <f t="shared" si="16"/>
        <v>0</v>
      </c>
      <c r="Y54" s="162">
        <f t="shared" si="16"/>
        <v>0</v>
      </c>
      <c r="Z54" s="162">
        <f t="shared" si="16"/>
        <v>0</v>
      </c>
      <c r="AA54" s="162">
        <f t="shared" si="16"/>
        <v>0</v>
      </c>
      <c r="AB54" s="162">
        <f t="shared" si="16"/>
        <v>0</v>
      </c>
      <c r="AC54" s="162">
        <f t="shared" si="16"/>
        <v>0</v>
      </c>
      <c r="AD54" s="162">
        <f t="shared" si="16"/>
        <v>0</v>
      </c>
      <c r="AE54" s="162">
        <f t="shared" si="16"/>
        <v>0</v>
      </c>
      <c r="AF54" s="162">
        <f t="shared" si="16"/>
        <v>0</v>
      </c>
    </row>
    <row r="55" spans="2:32" s="5" customFormat="1" hidden="1" outlineLevel="3">
      <c r="B55" s="160" t="s">
        <v>13</v>
      </c>
      <c r="C55" s="160"/>
      <c r="D55" s="160"/>
      <c r="E55" s="160"/>
      <c r="F55" s="160"/>
      <c r="G55" s="160"/>
      <c r="H55" s="157"/>
      <c r="I55" s="157"/>
      <c r="J55" s="162"/>
      <c r="K55" s="163">
        <f>-545+393</f>
        <v>-152</v>
      </c>
      <c r="L55" s="163">
        <f>+$I56*L17</f>
        <v>-200</v>
      </c>
      <c r="M55" s="163">
        <f>+M17*Proyecciones!H$43</f>
        <v>-1344.665</v>
      </c>
      <c r="N55" s="163">
        <f>+N17*Proyecciones!I$43</f>
        <v>-541.65</v>
      </c>
      <c r="O55" s="163">
        <f>+O17*Proyecciones!J$43</f>
        <v>-563.31600000000003</v>
      </c>
      <c r="P55" s="163">
        <f>+P17*Proyecciones!K$43</f>
        <v>-585.84863999999993</v>
      </c>
      <c r="Q55" s="163">
        <f>+Q17*Proyecciones!L$43</f>
        <v>0</v>
      </c>
      <c r="R55" s="163">
        <f>+R17*Proyecciones!M$43</f>
        <v>0</v>
      </c>
      <c r="S55" s="163">
        <f>+S17*Proyecciones!N$43</f>
        <v>0</v>
      </c>
      <c r="T55" s="163">
        <f>+T17*Proyecciones!O$43</f>
        <v>0</v>
      </c>
      <c r="U55" s="163">
        <f>+U17*Proyecciones!P$43</f>
        <v>0</v>
      </c>
      <c r="V55" s="163">
        <f>+V17*Proyecciones!Q$43</f>
        <v>0</v>
      </c>
      <c r="W55" s="163">
        <f>+W17*Proyecciones!R$43</f>
        <v>0</v>
      </c>
      <c r="X55" s="163">
        <f>+X17*Proyecciones!S$43</f>
        <v>0</v>
      </c>
      <c r="Y55" s="163">
        <f>+Y17*Proyecciones!T$43</f>
        <v>0</v>
      </c>
      <c r="Z55" s="163">
        <f>+Z17*Proyecciones!U$43</f>
        <v>0</v>
      </c>
      <c r="AA55" s="163">
        <f>+AA17*Proyecciones!V$43</f>
        <v>0</v>
      </c>
      <c r="AB55" s="163">
        <f>+AB17*Proyecciones!W$43</f>
        <v>0</v>
      </c>
      <c r="AC55" s="163">
        <f>+AC17*Proyecciones!X$43</f>
        <v>0</v>
      </c>
      <c r="AD55" s="163">
        <f>+AD17*Proyecciones!Y$43</f>
        <v>0</v>
      </c>
      <c r="AE55" s="163">
        <f>+AE17*Proyecciones!Z$43</f>
        <v>0</v>
      </c>
      <c r="AF55" s="163">
        <f>+AF17*Proyecciones!AA$43</f>
        <v>0</v>
      </c>
    </row>
    <row r="56" spans="2:32" s="5" customFormat="1" hidden="1" outlineLevel="3">
      <c r="B56" s="160" t="s">
        <v>14</v>
      </c>
      <c r="C56" s="160"/>
      <c r="D56" s="160"/>
      <c r="E56" s="160"/>
      <c r="F56" s="160"/>
      <c r="G56" s="160"/>
      <c r="H56" s="165" t="str">
        <f>+H53</f>
        <v>Margen</v>
      </c>
      <c r="I56" s="345">
        <f>+Proyecciones!E43</f>
        <v>-0.05</v>
      </c>
      <c r="J56" s="162"/>
      <c r="K56" s="163"/>
      <c r="L56" s="163"/>
      <c r="M56" s="163">
        <f>+M18*Proyecciones!H$43</f>
        <v>0</v>
      </c>
      <c r="N56" s="163">
        <f>+N18*Proyecciones!I$43</f>
        <v>0</v>
      </c>
      <c r="O56" s="163">
        <f>+O18*Proyecciones!J$43</f>
        <v>0</v>
      </c>
      <c r="P56" s="163">
        <f>+P18*Proyecciones!K$43</f>
        <v>0</v>
      </c>
      <c r="Q56" s="163">
        <f>+Q18*Proyecciones!L$43</f>
        <v>0</v>
      </c>
      <c r="R56" s="163">
        <f>+R18*Proyecciones!M$43</f>
        <v>0</v>
      </c>
      <c r="S56" s="163">
        <f>+S18*Proyecciones!N$43</f>
        <v>0</v>
      </c>
      <c r="T56" s="163">
        <f>+T18*Proyecciones!O$43</f>
        <v>0</v>
      </c>
      <c r="U56" s="163">
        <f>+U18*Proyecciones!P$43</f>
        <v>0</v>
      </c>
      <c r="V56" s="163">
        <f>+V18*Proyecciones!Q$43</f>
        <v>0</v>
      </c>
      <c r="W56" s="163">
        <f>+W18*Proyecciones!R$43</f>
        <v>0</v>
      </c>
      <c r="X56" s="163">
        <f>+X18*Proyecciones!S$43</f>
        <v>0</v>
      </c>
      <c r="Y56" s="163">
        <f>+Y18*Proyecciones!T$43</f>
        <v>0</v>
      </c>
      <c r="Z56" s="163">
        <f>+Z18*Proyecciones!U$43</f>
        <v>0</v>
      </c>
      <c r="AA56" s="163">
        <f>+AA18*Proyecciones!V$43</f>
        <v>0</v>
      </c>
      <c r="AB56" s="163">
        <f>+AB18*Proyecciones!W$43</f>
        <v>0</v>
      </c>
      <c r="AC56" s="163">
        <f>+AC18*Proyecciones!X$43</f>
        <v>0</v>
      </c>
      <c r="AD56" s="163">
        <f>+AD18*Proyecciones!Y$43</f>
        <v>0</v>
      </c>
      <c r="AE56" s="163">
        <f>+AE18*Proyecciones!Z$43</f>
        <v>0</v>
      </c>
      <c r="AF56" s="163">
        <f>+AF18*Proyecciones!AA$43</f>
        <v>0</v>
      </c>
    </row>
    <row r="57" spans="2:32" s="5" customFormat="1" hidden="1" outlineLevel="2" collapsed="1">
      <c r="B57" s="159" t="str">
        <f>+B19</f>
        <v>Corporativo</v>
      </c>
      <c r="C57" s="159"/>
      <c r="D57" s="159"/>
      <c r="E57" s="159"/>
      <c r="F57" s="159"/>
      <c r="G57" s="159"/>
      <c r="H57" s="157"/>
      <c r="I57" s="157"/>
      <c r="J57" s="162"/>
      <c r="K57" s="163">
        <v>180</v>
      </c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</row>
    <row r="58" spans="2:32" s="5" customFormat="1" hidden="1" outlineLevel="2">
      <c r="B58" s="159" t="str">
        <f>+B20</f>
        <v>Recuperaciones</v>
      </c>
      <c r="C58" s="159"/>
      <c r="D58" s="159"/>
      <c r="E58" s="159"/>
      <c r="F58" s="159"/>
      <c r="G58" s="159"/>
      <c r="H58" s="157"/>
      <c r="I58" s="157"/>
      <c r="J58" s="162"/>
      <c r="K58" s="163">
        <v>1363</v>
      </c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</row>
    <row r="59" spans="2:32" s="5" customFormat="1" hidden="1" outlineLevel="2">
      <c r="B59" s="159" t="str">
        <f>+B21</f>
        <v>Preconstrucciones - Gerencia pytos</v>
      </c>
      <c r="C59" s="159"/>
      <c r="D59" s="159"/>
      <c r="E59" s="159"/>
      <c r="F59" s="159"/>
      <c r="G59" s="159"/>
      <c r="H59" s="157"/>
      <c r="I59" s="157"/>
      <c r="J59" s="162"/>
      <c r="K59" s="163">
        <v>309</v>
      </c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</row>
    <row r="60" spans="2:32" s="5" customFormat="1" hidden="1" outlineLevel="2">
      <c r="B60" s="157"/>
      <c r="C60" s="157"/>
      <c r="D60" s="157"/>
      <c r="E60" s="157"/>
      <c r="F60" s="157"/>
      <c r="G60" s="157"/>
      <c r="H60" s="157"/>
      <c r="I60" s="157"/>
      <c r="J60" s="162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</row>
    <row r="61" spans="2:32" s="4" customFormat="1" outlineLevel="1" collapsed="1">
      <c r="B61" s="158" t="s">
        <v>20</v>
      </c>
      <c r="C61" s="158"/>
      <c r="D61" s="158"/>
      <c r="E61" s="158"/>
      <c r="F61" s="158"/>
      <c r="G61" s="158"/>
      <c r="H61" s="158"/>
      <c r="I61" s="158"/>
      <c r="J61" s="166">
        <f>+SUBTOTAL(9,J62:J76)</f>
        <v>0</v>
      </c>
      <c r="K61" s="166">
        <f>+SUBTOTAL(9,K62:K76)</f>
        <v>0</v>
      </c>
      <c r="L61" s="166">
        <f>+SUBTOTAL(9,L62:L76)</f>
        <v>5898.893877016917</v>
      </c>
      <c r="M61" s="166">
        <f t="shared" ref="M61:AF61" si="17">+SUBTOTAL(9,M62:M76)</f>
        <v>6702.8599948849151</v>
      </c>
      <c r="N61" s="166">
        <f t="shared" si="17"/>
        <v>7767.684865019397</v>
      </c>
      <c r="O61" s="166">
        <f t="shared" si="17"/>
        <v>13390.186938644012</v>
      </c>
      <c r="P61" s="166">
        <f t="shared" si="17"/>
        <v>13694.248483440557</v>
      </c>
      <c r="Q61" s="166">
        <f t="shared" si="17"/>
        <v>19159.24800531015</v>
      </c>
      <c r="R61" s="166">
        <f t="shared" si="17"/>
        <v>25743.37365201184</v>
      </c>
      <c r="S61" s="166">
        <f t="shared" si="17"/>
        <v>29216.872924304997</v>
      </c>
      <c r="T61" s="166">
        <f t="shared" si="17"/>
        <v>34488.978980227745</v>
      </c>
      <c r="U61" s="166">
        <f t="shared" si="17"/>
        <v>37958.999550323679</v>
      </c>
      <c r="V61" s="166">
        <f t="shared" si="17"/>
        <v>41574.37726938109</v>
      </c>
      <c r="W61" s="166">
        <f t="shared" si="17"/>
        <v>45217.762883693169</v>
      </c>
      <c r="X61" s="166">
        <f t="shared" si="17"/>
        <v>46832.306642322896</v>
      </c>
      <c r="Y61" s="166">
        <f t="shared" si="17"/>
        <v>44523.997889105885</v>
      </c>
      <c r="Z61" s="166">
        <f t="shared" si="17"/>
        <v>45988.128939639668</v>
      </c>
      <c r="AA61" s="166">
        <f t="shared" si="17"/>
        <v>48108.927690628218</v>
      </c>
      <c r="AB61" s="166">
        <f t="shared" si="17"/>
        <v>50765.057438456992</v>
      </c>
      <c r="AC61" s="166">
        <f t="shared" si="17"/>
        <v>51018.25998058336</v>
      </c>
      <c r="AD61" s="166">
        <f t="shared" si="17"/>
        <v>59257.808274567724</v>
      </c>
      <c r="AE61" s="166">
        <f t="shared" si="17"/>
        <v>56337.06130856146</v>
      </c>
      <c r="AF61" s="166">
        <f t="shared" si="17"/>
        <v>58189.654172372364</v>
      </c>
    </row>
    <row r="62" spans="2:32" s="4" customFormat="1" hidden="1" outlineLevel="2">
      <c r="B62" s="159" t="s">
        <v>10</v>
      </c>
      <c r="C62" s="159"/>
      <c r="D62" s="159"/>
      <c r="E62" s="159"/>
      <c r="F62" s="159"/>
      <c r="G62" s="159"/>
      <c r="H62" s="157"/>
      <c r="I62" s="157"/>
      <c r="J62" s="162">
        <f>+SUBTOTAL(9,J63:J64)</f>
        <v>0</v>
      </c>
      <c r="K62" s="162">
        <f>+SUBTOTAL(9,K63:K64)</f>
        <v>0</v>
      </c>
      <c r="L62" s="162">
        <f>+SUBTOTAL(9,L63:L64)</f>
        <v>1965.6973211808261</v>
      </c>
      <c r="M62" s="162">
        <f t="shared" ref="M62:AF62" si="18">+SUBTOTAL(9,M63:M64)</f>
        <v>2548.4374243098982</v>
      </c>
      <c r="N62" s="162">
        <f t="shared" si="18"/>
        <v>2745.6186023604041</v>
      </c>
      <c r="O62" s="162">
        <f t="shared" si="18"/>
        <v>5513.2937855797463</v>
      </c>
      <c r="P62" s="162">
        <f t="shared" si="18"/>
        <v>6097.2497710193575</v>
      </c>
      <c r="Q62" s="162">
        <f t="shared" si="18"/>
        <v>8450.8315373078767</v>
      </c>
      <c r="R62" s="162">
        <f t="shared" si="18"/>
        <v>11230.145626800191</v>
      </c>
      <c r="S62" s="162">
        <f t="shared" si="18"/>
        <v>12736.006968601116</v>
      </c>
      <c r="T62" s="162">
        <f t="shared" si="18"/>
        <v>15023.593960390072</v>
      </c>
      <c r="U62" s="162">
        <f t="shared" si="18"/>
        <v>16546.587801992893</v>
      </c>
      <c r="V62" s="162">
        <f t="shared" si="18"/>
        <v>18110.527293685096</v>
      </c>
      <c r="W62" s="162">
        <f t="shared" si="18"/>
        <v>19671.020263764163</v>
      </c>
      <c r="X62" s="162">
        <f t="shared" si="18"/>
        <v>20266.313171718502</v>
      </c>
      <c r="Y62" s="162">
        <f t="shared" si="18"/>
        <v>19181.705897077125</v>
      </c>
      <c r="Z62" s="162">
        <f t="shared" si="18"/>
        <v>19904.657847389397</v>
      </c>
      <c r="AA62" s="162">
        <f t="shared" si="18"/>
        <v>20908.366603730225</v>
      </c>
      <c r="AB62" s="162">
        <f t="shared" si="18"/>
        <v>22117.315115113986</v>
      </c>
      <c r="AC62" s="162">
        <f t="shared" si="18"/>
        <v>22318.946828549553</v>
      </c>
      <c r="AD62" s="162">
        <f t="shared" si="18"/>
        <v>25643.351490971414</v>
      </c>
      <c r="AE62" s="162">
        <f t="shared" si="18"/>
        <v>24270.977278768572</v>
      </c>
      <c r="AF62" s="162">
        <f t="shared" si="18"/>
        <v>25185.742130957464</v>
      </c>
    </row>
    <row r="63" spans="2:32" s="4" customFormat="1" hidden="1" outlineLevel="3">
      <c r="B63" s="160" t="s">
        <v>13</v>
      </c>
      <c r="C63" s="160"/>
      <c r="D63" s="160"/>
      <c r="E63" s="160"/>
      <c r="F63" s="160"/>
      <c r="G63" s="160"/>
      <c r="H63" s="157"/>
      <c r="I63" s="157"/>
      <c r="J63" s="162"/>
      <c r="K63" s="162"/>
      <c r="L63" s="162">
        <f>+'Proyectos Inmob detall'!G493</f>
        <v>1965.6973211808261</v>
      </c>
      <c r="M63" s="162">
        <f>+'Proyectos Inmob detall'!H493</f>
        <v>2278.1674243098983</v>
      </c>
      <c r="N63" s="162">
        <f>+'Proyectos Inmob detall'!I493</f>
        <v>1492.0013265539512</v>
      </c>
      <c r="O63" s="162">
        <f>+'Proyectos Inmob detall'!J493</f>
        <v>2469.3843097087765</v>
      </c>
      <c r="P63" s="162">
        <f>+'Proyectos Inmob detall'!K493</f>
        <v>712.92374999999993</v>
      </c>
      <c r="Q63" s="162">
        <f>+'Proyectos Inmob detall'!L493</f>
        <v>660.75975000000199</v>
      </c>
      <c r="R63" s="162">
        <f>+'Proyectos Inmob detall'!M493</f>
        <v>835.09124999999949</v>
      </c>
      <c r="S63" s="162">
        <f>+'Proyectos Inmob detall'!N493</f>
        <v>0</v>
      </c>
      <c r="T63" s="162">
        <f>+'Proyectos Inmob detall'!O493</f>
        <v>0</v>
      </c>
      <c r="U63" s="162">
        <f>+'Proyectos Inmob detall'!P493</f>
        <v>0</v>
      </c>
      <c r="V63" s="162">
        <f>+'Proyectos Inmob detall'!Q493</f>
        <v>0</v>
      </c>
      <c r="W63" s="162">
        <f>+'Proyectos Inmob detall'!R493</f>
        <v>0</v>
      </c>
      <c r="X63" s="162">
        <f>+'Proyectos Inmob detall'!S493</f>
        <v>0</v>
      </c>
      <c r="Y63" s="162">
        <f>+'Proyectos Inmob detall'!T493</f>
        <v>0</v>
      </c>
      <c r="Z63" s="162">
        <f>+'Proyectos Inmob detall'!U493</f>
        <v>0</v>
      </c>
      <c r="AA63" s="162">
        <f>+'Proyectos Inmob detall'!V493</f>
        <v>0</v>
      </c>
      <c r="AB63" s="162">
        <f>+'Proyectos Inmob detall'!W493</f>
        <v>0</v>
      </c>
      <c r="AC63" s="162">
        <f>+'Proyectos Inmob detall'!X493</f>
        <v>0</v>
      </c>
      <c r="AD63" s="162">
        <f>+'Proyectos Inmob detall'!Y493</f>
        <v>0</v>
      </c>
      <c r="AE63" s="162">
        <f>+'Proyectos Inmob detall'!Z493</f>
        <v>0</v>
      </c>
      <c r="AF63" s="162">
        <f>+'Proyectos Inmob detall'!AA493</f>
        <v>0</v>
      </c>
    </row>
    <row r="64" spans="2:32" s="4" customFormat="1" hidden="1" outlineLevel="3">
      <c r="B64" s="160" t="s">
        <v>14</v>
      </c>
      <c r="C64" s="160"/>
      <c r="D64" s="160"/>
      <c r="E64" s="160"/>
      <c r="F64" s="160"/>
      <c r="G64" s="160"/>
      <c r="H64" s="157"/>
      <c r="I64" s="157"/>
      <c r="J64" s="162"/>
      <c r="K64" s="162"/>
      <c r="L64" s="162">
        <f>+'Proyectos Inmob detall'!G586</f>
        <v>0</v>
      </c>
      <c r="M64" s="162">
        <f>+'Proyectos Inmob detall'!H586</f>
        <v>270.27000000000021</v>
      </c>
      <c r="N64" s="162">
        <f>+'Proyectos Inmob detall'!I586</f>
        <v>1253.6172758064527</v>
      </c>
      <c r="O64" s="162">
        <f>+'Proyectos Inmob detall'!J586</f>
        <v>3043.9094758709693</v>
      </c>
      <c r="P64" s="162">
        <f>+'Proyectos Inmob detall'!K586</f>
        <v>5384.3260210193575</v>
      </c>
      <c r="Q64" s="162">
        <f>+'Proyectos Inmob detall'!L586</f>
        <v>7790.0717873078756</v>
      </c>
      <c r="R64" s="162">
        <f>+'Proyectos Inmob detall'!M586</f>
        <v>10395.054376800192</v>
      </c>
      <c r="S64" s="162">
        <f>+'Proyectos Inmob detall'!N586</f>
        <v>12736.006968601116</v>
      </c>
      <c r="T64" s="162">
        <f>+'Proyectos Inmob detall'!O586</f>
        <v>15023.593960390072</v>
      </c>
      <c r="U64" s="162">
        <f>+'Proyectos Inmob detall'!P586</f>
        <v>16546.587801992893</v>
      </c>
      <c r="V64" s="162">
        <f>+'Proyectos Inmob detall'!Q586</f>
        <v>18110.527293685096</v>
      </c>
      <c r="W64" s="162">
        <f>+'Proyectos Inmob detall'!R586</f>
        <v>19671.020263764163</v>
      </c>
      <c r="X64" s="162">
        <f>+'Proyectos Inmob detall'!S586</f>
        <v>20266.313171718502</v>
      </c>
      <c r="Y64" s="162">
        <f>+'Proyectos Inmob detall'!T586</f>
        <v>19181.705897077125</v>
      </c>
      <c r="Z64" s="162">
        <f>+'Proyectos Inmob detall'!U586</f>
        <v>19904.657847389397</v>
      </c>
      <c r="AA64" s="162">
        <f>+'Proyectos Inmob detall'!V586</f>
        <v>20908.366603730225</v>
      </c>
      <c r="AB64" s="162">
        <f>+'Proyectos Inmob detall'!W586</f>
        <v>22117.315115113986</v>
      </c>
      <c r="AC64" s="162">
        <f>+'Proyectos Inmob detall'!X586</f>
        <v>22318.946828549553</v>
      </c>
      <c r="AD64" s="162">
        <f>+'Proyectos Inmob detall'!Y586</f>
        <v>25643.351490971414</v>
      </c>
      <c r="AE64" s="162">
        <f>+'Proyectos Inmob detall'!Z586</f>
        <v>24270.977278768572</v>
      </c>
      <c r="AF64" s="162">
        <f>+'Proyectos Inmob detall'!AA586</f>
        <v>25185.742130957464</v>
      </c>
    </row>
    <row r="65" spans="2:32" s="4" customFormat="1" hidden="1" outlineLevel="2" collapsed="1">
      <c r="B65" s="159" t="s">
        <v>7</v>
      </c>
      <c r="C65" s="159"/>
      <c r="D65" s="159"/>
      <c r="E65" s="159"/>
      <c r="F65" s="159"/>
      <c r="G65" s="159"/>
      <c r="H65" s="157"/>
      <c r="I65" s="157"/>
      <c r="J65" s="162">
        <f>+SUBTOTAL(9,J66:J67)</f>
        <v>0</v>
      </c>
      <c r="K65" s="162">
        <f>+SUBTOTAL(9,K66:K67)</f>
        <v>0</v>
      </c>
      <c r="L65" s="162">
        <f>+SUBTOTAL(9,L66:L67)</f>
        <v>316.20341450880005</v>
      </c>
      <c r="M65" s="162">
        <f t="shared" ref="M65:AF65" si="19">+SUBTOTAL(9,M66:M67)</f>
        <v>277.35482549120002</v>
      </c>
      <c r="N65" s="162">
        <f t="shared" si="19"/>
        <v>161.1076139064516</v>
      </c>
      <c r="O65" s="162">
        <f t="shared" si="19"/>
        <v>312.48064646105809</v>
      </c>
      <c r="P65" s="162">
        <f t="shared" si="19"/>
        <v>505.02648817671752</v>
      </c>
      <c r="Q65" s="162">
        <f t="shared" si="19"/>
        <v>699.97030361872919</v>
      </c>
      <c r="R65" s="162">
        <f t="shared" si="19"/>
        <v>930.17691920267862</v>
      </c>
      <c r="S65" s="162">
        <f t="shared" si="19"/>
        <v>1054.9052629135606</v>
      </c>
      <c r="T65" s="162">
        <f t="shared" si="19"/>
        <v>1244.3828254620225</v>
      </c>
      <c r="U65" s="162">
        <f t="shared" si="19"/>
        <v>1370.5302296564964</v>
      </c>
      <c r="V65" s="162">
        <f t="shared" si="19"/>
        <v>1500.0691035540879</v>
      </c>
      <c r="W65" s="162">
        <f t="shared" si="19"/>
        <v>1629.3225069900657</v>
      </c>
      <c r="X65" s="162">
        <f t="shared" si="19"/>
        <v>1678.6297681374833</v>
      </c>
      <c r="Y65" s="162">
        <f t="shared" si="19"/>
        <v>1588.7932970179018</v>
      </c>
      <c r="Z65" s="162">
        <f t="shared" si="19"/>
        <v>1648.6743742737667</v>
      </c>
      <c r="AA65" s="162">
        <f t="shared" si="19"/>
        <v>1731.8101366918254</v>
      </c>
      <c r="AB65" s="162">
        <f t="shared" si="19"/>
        <v>1831.9456148204413</v>
      </c>
      <c r="AC65" s="162">
        <f t="shared" si="19"/>
        <v>1848.6464815990032</v>
      </c>
      <c r="AD65" s="162">
        <f t="shared" si="19"/>
        <v>2124.0021706378889</v>
      </c>
      <c r="AE65" s="162">
        <f t="shared" si="19"/>
        <v>2010.3303751757162</v>
      </c>
      <c r="AF65" s="162">
        <f t="shared" si="19"/>
        <v>2086.0990410755899</v>
      </c>
    </row>
    <row r="66" spans="2:32" s="4" customFormat="1" hidden="1" outlineLevel="3">
      <c r="B66" s="160" t="s">
        <v>13</v>
      </c>
      <c r="C66" s="160"/>
      <c r="D66" s="160"/>
      <c r="E66" s="160"/>
      <c r="F66" s="160"/>
      <c r="G66" s="160"/>
      <c r="H66" s="157"/>
      <c r="I66" s="157"/>
      <c r="J66" s="162"/>
      <c r="K66" s="162"/>
      <c r="L66" s="162">
        <f>+'Proyectos Inmob detall'!G436</f>
        <v>316.20341450880005</v>
      </c>
      <c r="M66" s="162">
        <f>+'Proyectos Inmob detall'!H436</f>
        <v>254.96874749120002</v>
      </c>
      <c r="N66" s="162">
        <f>+'Proyectos Inmob detall'!I436</f>
        <v>57.272285833225808</v>
      </c>
      <c r="O66" s="162">
        <f>+'Proyectos Inmob detall'!J436</f>
        <v>60.357973016774196</v>
      </c>
      <c r="P66" s="162">
        <f>+'Proyectos Inmob detall'!K436</f>
        <v>59.050455749999998</v>
      </c>
      <c r="Q66" s="162">
        <f>+'Proyectos Inmob detall'!L436</f>
        <v>54.729786150000024</v>
      </c>
      <c r="R66" s="162">
        <f>+'Proyectos Inmob detall'!M436</f>
        <v>69.169415250000014</v>
      </c>
      <c r="S66" s="162">
        <f>+'Proyectos Inmob detall'!N436</f>
        <v>0</v>
      </c>
      <c r="T66" s="162">
        <f>+'Proyectos Inmob detall'!O436</f>
        <v>0</v>
      </c>
      <c r="U66" s="162">
        <f>+'Proyectos Inmob detall'!P436</f>
        <v>0</v>
      </c>
      <c r="V66" s="162">
        <f>+'Proyectos Inmob detall'!Q436</f>
        <v>0</v>
      </c>
      <c r="W66" s="162">
        <f>+'Proyectos Inmob detall'!R436</f>
        <v>0</v>
      </c>
      <c r="X66" s="162">
        <f>+'Proyectos Inmob detall'!S436</f>
        <v>0</v>
      </c>
      <c r="Y66" s="162">
        <f>+'Proyectos Inmob detall'!T436</f>
        <v>0</v>
      </c>
      <c r="Z66" s="162">
        <f>+'Proyectos Inmob detall'!U436</f>
        <v>0</v>
      </c>
      <c r="AA66" s="162">
        <f>+'Proyectos Inmob detall'!V436</f>
        <v>0</v>
      </c>
      <c r="AB66" s="162">
        <f>+'Proyectos Inmob detall'!W436</f>
        <v>0</v>
      </c>
      <c r="AC66" s="162">
        <f>+'Proyectos Inmob detall'!X436</f>
        <v>0</v>
      </c>
      <c r="AD66" s="162">
        <f>+'Proyectos Inmob detall'!Y436</f>
        <v>0</v>
      </c>
      <c r="AE66" s="162">
        <f>+'Proyectos Inmob detall'!Z436</f>
        <v>0</v>
      </c>
      <c r="AF66" s="162">
        <f>+'Proyectos Inmob detall'!AA436</f>
        <v>0</v>
      </c>
    </row>
    <row r="67" spans="2:32" s="4" customFormat="1" hidden="1" outlineLevel="3">
      <c r="B67" s="160" t="s">
        <v>14</v>
      </c>
      <c r="C67" s="160"/>
      <c r="D67" s="160"/>
      <c r="E67" s="160"/>
      <c r="F67" s="160"/>
      <c r="G67" s="160"/>
      <c r="H67" s="164" t="s">
        <v>189</v>
      </c>
      <c r="I67" s="165">
        <v>1</v>
      </c>
      <c r="J67" s="162"/>
      <c r="K67" s="162"/>
      <c r="L67" s="162">
        <f t="shared" ref="L67:AF67" si="20">+L30*$I$67</f>
        <v>0</v>
      </c>
      <c r="M67" s="162">
        <f t="shared" si="20"/>
        <v>22.386078000000001</v>
      </c>
      <c r="N67" s="162">
        <f t="shared" si="20"/>
        <v>103.83532807322581</v>
      </c>
      <c r="O67" s="162">
        <f t="shared" si="20"/>
        <v>252.12267344428392</v>
      </c>
      <c r="P67" s="162">
        <f t="shared" si="20"/>
        <v>445.9760324267175</v>
      </c>
      <c r="Q67" s="162">
        <f t="shared" si="20"/>
        <v>645.24051746872919</v>
      </c>
      <c r="R67" s="162">
        <f t="shared" si="20"/>
        <v>861.00750395267858</v>
      </c>
      <c r="S67" s="162">
        <f t="shared" si="20"/>
        <v>1054.9052629135606</v>
      </c>
      <c r="T67" s="162">
        <f t="shared" si="20"/>
        <v>1244.3828254620225</v>
      </c>
      <c r="U67" s="162">
        <f t="shared" si="20"/>
        <v>1370.5302296564964</v>
      </c>
      <c r="V67" s="162">
        <f t="shared" si="20"/>
        <v>1500.0691035540879</v>
      </c>
      <c r="W67" s="162">
        <f t="shared" si="20"/>
        <v>1629.3225069900657</v>
      </c>
      <c r="X67" s="162">
        <f t="shared" si="20"/>
        <v>1678.6297681374833</v>
      </c>
      <c r="Y67" s="162">
        <f t="shared" si="20"/>
        <v>1588.7932970179018</v>
      </c>
      <c r="Z67" s="162">
        <f t="shared" si="20"/>
        <v>1648.6743742737667</v>
      </c>
      <c r="AA67" s="162">
        <f t="shared" si="20"/>
        <v>1731.8101366918254</v>
      </c>
      <c r="AB67" s="162">
        <f t="shared" si="20"/>
        <v>1831.9456148204413</v>
      </c>
      <c r="AC67" s="162">
        <f t="shared" si="20"/>
        <v>1848.6464815990032</v>
      </c>
      <c r="AD67" s="162">
        <f t="shared" si="20"/>
        <v>2124.0021706378889</v>
      </c>
      <c r="AE67" s="162">
        <f t="shared" si="20"/>
        <v>2010.3303751757162</v>
      </c>
      <c r="AF67" s="162">
        <f t="shared" si="20"/>
        <v>2086.0990410755899</v>
      </c>
    </row>
    <row r="68" spans="2:32" s="4" customFormat="1" hidden="1" outlineLevel="2" collapsed="1">
      <c r="B68" s="159" t="s">
        <v>11</v>
      </c>
      <c r="C68" s="159"/>
      <c r="D68" s="159"/>
      <c r="E68" s="159"/>
      <c r="F68" s="159"/>
      <c r="G68" s="159"/>
      <c r="H68" s="157"/>
      <c r="I68" s="157"/>
      <c r="J68" s="162">
        <f>+SUBTOTAL(9,J69:J70)</f>
        <v>0</v>
      </c>
      <c r="K68" s="162">
        <f>+SUBTOTAL(9,K69:K70)</f>
        <v>0</v>
      </c>
      <c r="L68" s="162">
        <f>+SUBTOTAL(9,L69:L70)</f>
        <v>0</v>
      </c>
      <c r="M68" s="162">
        <f t="shared" ref="M68:AF68" si="21">+SUBTOTAL(9,M69:M70)</f>
        <v>17.9088624</v>
      </c>
      <c r="N68" s="162">
        <f t="shared" si="21"/>
        <v>64.443045562580636</v>
      </c>
      <c r="O68" s="162">
        <f t="shared" si="21"/>
        <v>124.99225858442321</v>
      </c>
      <c r="P68" s="162">
        <f t="shared" si="21"/>
        <v>202.01059527068693</v>
      </c>
      <c r="Q68" s="162">
        <f t="shared" si="21"/>
        <v>279.98812144749161</v>
      </c>
      <c r="R68" s="162">
        <f t="shared" si="21"/>
        <v>372.07076768107129</v>
      </c>
      <c r="S68" s="162">
        <f t="shared" si="21"/>
        <v>421.96210516542408</v>
      </c>
      <c r="T68" s="162">
        <f t="shared" si="21"/>
        <v>497.75313018480898</v>
      </c>
      <c r="U68" s="162">
        <f t="shared" si="21"/>
        <v>548.21209186259841</v>
      </c>
      <c r="V68" s="162">
        <f t="shared" si="21"/>
        <v>600.02764142163505</v>
      </c>
      <c r="W68" s="162">
        <f t="shared" si="21"/>
        <v>651.72900279602607</v>
      </c>
      <c r="X68" s="162">
        <f t="shared" si="21"/>
        <v>671.45190725499322</v>
      </c>
      <c r="Y68" s="162">
        <f t="shared" si="21"/>
        <v>635.51731880716068</v>
      </c>
      <c r="Z68" s="162">
        <f t="shared" si="21"/>
        <v>659.46974970950657</v>
      </c>
      <c r="AA68" s="162">
        <f t="shared" si="21"/>
        <v>692.72405467673013</v>
      </c>
      <c r="AB68" s="162">
        <f t="shared" si="21"/>
        <v>732.77824592817637</v>
      </c>
      <c r="AC68" s="162">
        <f t="shared" si="21"/>
        <v>739.45859263960119</v>
      </c>
      <c r="AD68" s="162">
        <f t="shared" si="21"/>
        <v>849.60086825515532</v>
      </c>
      <c r="AE68" s="162">
        <f t="shared" si="21"/>
        <v>804.13215007028623</v>
      </c>
      <c r="AF68" s="162">
        <f t="shared" si="21"/>
        <v>834.43961643023579</v>
      </c>
    </row>
    <row r="69" spans="2:32" s="4" customFormat="1" hidden="1" outlineLevel="3">
      <c r="B69" s="160" t="s">
        <v>13</v>
      </c>
      <c r="C69" s="160"/>
      <c r="D69" s="160"/>
      <c r="E69" s="160"/>
      <c r="F69" s="160"/>
      <c r="G69" s="160"/>
      <c r="H69" s="157"/>
      <c r="I69" s="157"/>
      <c r="J69" s="162"/>
      <c r="K69" s="162"/>
      <c r="L69" s="162">
        <f>+'Proyectos Inmob detall'!G451</f>
        <v>0</v>
      </c>
      <c r="M69" s="162">
        <f>+'Proyectos Inmob detall'!H451</f>
        <v>8.9544312000000001</v>
      </c>
      <c r="N69" s="162">
        <f>+'Proyectos Inmob detall'!I451</f>
        <v>22.908914333290319</v>
      </c>
      <c r="O69" s="162">
        <f>+'Proyectos Inmob detall'!J451</f>
        <v>24.143189206709671</v>
      </c>
      <c r="P69" s="162">
        <f>+'Proyectos Inmob detall'!K451</f>
        <v>23.620182299999989</v>
      </c>
      <c r="Q69" s="162">
        <f>+'Proyectos Inmob detall'!L451</f>
        <v>21.89191446000001</v>
      </c>
      <c r="R69" s="162">
        <f>+'Proyectos Inmob detall'!M451</f>
        <v>27.667766099999994</v>
      </c>
      <c r="S69" s="162">
        <f>+'Proyectos Inmob detall'!N451</f>
        <v>0</v>
      </c>
      <c r="T69" s="162">
        <f>+'Proyectos Inmob detall'!O451</f>
        <v>0</v>
      </c>
      <c r="U69" s="162">
        <f>+'Proyectos Inmob detall'!P451</f>
        <v>0</v>
      </c>
      <c r="V69" s="162">
        <f>+'Proyectos Inmob detall'!Q451</f>
        <v>0</v>
      </c>
      <c r="W69" s="162">
        <f>+'Proyectos Inmob detall'!R451</f>
        <v>0</v>
      </c>
      <c r="X69" s="162">
        <f>+'Proyectos Inmob detall'!S451</f>
        <v>0</v>
      </c>
      <c r="Y69" s="162">
        <f>+'Proyectos Inmob detall'!T451</f>
        <v>0</v>
      </c>
      <c r="Z69" s="162">
        <f>+'Proyectos Inmob detall'!U451</f>
        <v>0</v>
      </c>
      <c r="AA69" s="162">
        <f>+'Proyectos Inmob detall'!V451</f>
        <v>0</v>
      </c>
      <c r="AB69" s="162">
        <f>+'Proyectos Inmob detall'!W451</f>
        <v>0</v>
      </c>
      <c r="AC69" s="162">
        <f>+'Proyectos Inmob detall'!X451</f>
        <v>0</v>
      </c>
      <c r="AD69" s="162">
        <f>+'Proyectos Inmob detall'!Y451</f>
        <v>0</v>
      </c>
      <c r="AE69" s="162">
        <f>+'Proyectos Inmob detall'!Z451</f>
        <v>0</v>
      </c>
      <c r="AF69" s="162">
        <f>+'Proyectos Inmob detall'!AA451</f>
        <v>0</v>
      </c>
    </row>
    <row r="70" spans="2:32" s="4" customFormat="1" hidden="1" outlineLevel="3">
      <c r="B70" s="160" t="s">
        <v>14</v>
      </c>
      <c r="C70" s="160"/>
      <c r="D70" s="160"/>
      <c r="E70" s="160"/>
      <c r="F70" s="160"/>
      <c r="G70" s="160"/>
      <c r="H70" s="164" t="s">
        <v>189</v>
      </c>
      <c r="I70" s="165">
        <v>1</v>
      </c>
      <c r="J70" s="162"/>
      <c r="K70" s="162"/>
      <c r="L70" s="162">
        <f t="shared" ref="L70:AF70" si="22">+L33*$I$70</f>
        <v>0</v>
      </c>
      <c r="M70" s="162">
        <f t="shared" si="22"/>
        <v>8.9544312000000001</v>
      </c>
      <c r="N70" s="162">
        <f t="shared" si="22"/>
        <v>41.534131229290324</v>
      </c>
      <c r="O70" s="162">
        <f t="shared" si="22"/>
        <v>100.84906937771353</v>
      </c>
      <c r="P70" s="162">
        <f t="shared" si="22"/>
        <v>178.39041297068695</v>
      </c>
      <c r="Q70" s="162">
        <f t="shared" si="22"/>
        <v>258.0962069874916</v>
      </c>
      <c r="R70" s="162">
        <f t="shared" si="22"/>
        <v>344.40300158107129</v>
      </c>
      <c r="S70" s="162">
        <f t="shared" si="22"/>
        <v>421.96210516542408</v>
      </c>
      <c r="T70" s="162">
        <f t="shared" si="22"/>
        <v>497.75313018480898</v>
      </c>
      <c r="U70" s="162">
        <f t="shared" si="22"/>
        <v>548.21209186259841</v>
      </c>
      <c r="V70" s="162">
        <f t="shared" si="22"/>
        <v>600.02764142163505</v>
      </c>
      <c r="W70" s="162">
        <f t="shared" si="22"/>
        <v>651.72900279602607</v>
      </c>
      <c r="X70" s="162">
        <f t="shared" si="22"/>
        <v>671.45190725499322</v>
      </c>
      <c r="Y70" s="162">
        <f t="shared" si="22"/>
        <v>635.51731880716068</v>
      </c>
      <c r="Z70" s="162">
        <f t="shared" si="22"/>
        <v>659.46974970950657</v>
      </c>
      <c r="AA70" s="162">
        <f t="shared" si="22"/>
        <v>692.72405467673013</v>
      </c>
      <c r="AB70" s="162">
        <f t="shared" si="22"/>
        <v>732.77824592817637</v>
      </c>
      <c r="AC70" s="162">
        <f t="shared" si="22"/>
        <v>739.45859263960119</v>
      </c>
      <c r="AD70" s="162">
        <f t="shared" si="22"/>
        <v>849.60086825515532</v>
      </c>
      <c r="AE70" s="162">
        <f t="shared" si="22"/>
        <v>804.13215007028623</v>
      </c>
      <c r="AF70" s="162">
        <f t="shared" si="22"/>
        <v>834.43961643023579</v>
      </c>
    </row>
    <row r="71" spans="2:32" s="4" customFormat="1" hidden="1" outlineLevel="2" collapsed="1">
      <c r="B71" s="159" t="s">
        <v>6</v>
      </c>
      <c r="C71" s="159"/>
      <c r="D71" s="159"/>
      <c r="E71" s="159"/>
      <c r="F71" s="159"/>
      <c r="G71" s="159"/>
      <c r="H71" s="157"/>
      <c r="I71" s="157"/>
      <c r="J71" s="162">
        <f>+SUBTOTAL(9,J72:J73)</f>
        <v>0</v>
      </c>
      <c r="K71" s="162">
        <f>+SUBTOTAL(9,K72:K73)</f>
        <v>0</v>
      </c>
      <c r="L71" s="162">
        <f>+SUBTOTAL(9,L72:L73)</f>
        <v>1189.4800270942387</v>
      </c>
      <c r="M71" s="162">
        <f t="shared" ref="M71:AF71" si="23">+SUBTOTAL(9,M72:M73)</f>
        <v>1509.4513284768691</v>
      </c>
      <c r="N71" s="162">
        <f t="shared" si="23"/>
        <v>1724.8074070834598</v>
      </c>
      <c r="O71" s="162">
        <f t="shared" si="23"/>
        <v>3565.5027269681896</v>
      </c>
      <c r="P71" s="162">
        <f t="shared" si="23"/>
        <v>3535.1854172370204</v>
      </c>
      <c r="Q71" s="162">
        <f t="shared" si="23"/>
        <v>4899.7921253310997</v>
      </c>
      <c r="R71" s="162">
        <f t="shared" si="23"/>
        <v>6511.2384344187458</v>
      </c>
      <c r="S71" s="162">
        <f t="shared" si="23"/>
        <v>7384.3368403949198</v>
      </c>
      <c r="T71" s="162">
        <f t="shared" si="23"/>
        <v>8710.6797782341546</v>
      </c>
      <c r="U71" s="162">
        <f t="shared" si="23"/>
        <v>9593.7116075954691</v>
      </c>
      <c r="V71" s="162">
        <f t="shared" si="23"/>
        <v>10500.48372487861</v>
      </c>
      <c r="W71" s="162">
        <f t="shared" si="23"/>
        <v>11405.257548930453</v>
      </c>
      <c r="X71" s="162">
        <f t="shared" si="23"/>
        <v>11750.408376962378</v>
      </c>
      <c r="Y71" s="162">
        <f t="shared" si="23"/>
        <v>11121.553079125308</v>
      </c>
      <c r="Z71" s="162">
        <f t="shared" si="23"/>
        <v>11540.720619916361</v>
      </c>
      <c r="AA71" s="162">
        <f t="shared" si="23"/>
        <v>12122.67095684277</v>
      </c>
      <c r="AB71" s="162">
        <f t="shared" si="23"/>
        <v>12823.619303743088</v>
      </c>
      <c r="AC71" s="162">
        <f t="shared" si="23"/>
        <v>12940.525371193011</v>
      </c>
      <c r="AD71" s="162">
        <f t="shared" si="23"/>
        <v>14868.015194465215</v>
      </c>
      <c r="AE71" s="162">
        <f t="shared" si="23"/>
        <v>14072.312626230007</v>
      </c>
      <c r="AF71" s="162">
        <f t="shared" si="23"/>
        <v>14602.693287529122</v>
      </c>
    </row>
    <row r="72" spans="2:32" s="4" customFormat="1" hidden="1" outlineLevel="3">
      <c r="B72" s="160" t="s">
        <v>13</v>
      </c>
      <c r="C72" s="160"/>
      <c r="D72" s="160"/>
      <c r="E72" s="160"/>
      <c r="F72" s="160"/>
      <c r="G72" s="160"/>
      <c r="H72" s="157"/>
      <c r="I72" s="157"/>
      <c r="J72" s="162"/>
      <c r="K72" s="162"/>
      <c r="L72" s="162">
        <f>+'Proyectos Inmob detall'!G472</f>
        <v>1189.4800270942387</v>
      </c>
      <c r="M72" s="162">
        <f>+'Proyectos Inmob detall'!H472</f>
        <v>1352.7487824768691</v>
      </c>
      <c r="N72" s="162">
        <f>+'Proyectos Inmob detall'!I472</f>
        <v>997.96011057087958</v>
      </c>
      <c r="O72" s="162">
        <f>+'Proyectos Inmob detall'!J472</f>
        <v>1800.6440128582033</v>
      </c>
      <c r="P72" s="162">
        <f>+'Proyectos Inmob detall'!K472</f>
        <v>413.3531902499999</v>
      </c>
      <c r="Q72" s="162">
        <f>+'Proyectos Inmob detall'!L472</f>
        <v>383.10850304999894</v>
      </c>
      <c r="R72" s="162">
        <f>+'Proyectos Inmob detall'!M472</f>
        <v>484.18590675000087</v>
      </c>
      <c r="S72" s="162">
        <f>+'Proyectos Inmob detall'!N472</f>
        <v>0</v>
      </c>
      <c r="T72" s="162">
        <f>+'Proyectos Inmob detall'!O472</f>
        <v>0</v>
      </c>
      <c r="U72" s="162">
        <f>+'Proyectos Inmob detall'!P472</f>
        <v>0</v>
      </c>
      <c r="V72" s="162">
        <f>+'Proyectos Inmob detall'!Q472</f>
        <v>0</v>
      </c>
      <c r="W72" s="162">
        <f>+'Proyectos Inmob detall'!R472</f>
        <v>0</v>
      </c>
      <c r="X72" s="162">
        <f>+'Proyectos Inmob detall'!S472</f>
        <v>0</v>
      </c>
      <c r="Y72" s="162">
        <f>+'Proyectos Inmob detall'!T472</f>
        <v>0</v>
      </c>
      <c r="Z72" s="162">
        <f>+'Proyectos Inmob detall'!U472</f>
        <v>0</v>
      </c>
      <c r="AA72" s="162">
        <f>+'Proyectos Inmob detall'!V472</f>
        <v>0</v>
      </c>
      <c r="AB72" s="162">
        <f>+'Proyectos Inmob detall'!W472</f>
        <v>0</v>
      </c>
      <c r="AC72" s="162">
        <f>+'Proyectos Inmob detall'!X472</f>
        <v>0</v>
      </c>
      <c r="AD72" s="162">
        <f>+'Proyectos Inmob detall'!Y472</f>
        <v>0</v>
      </c>
      <c r="AE72" s="162">
        <f>+'Proyectos Inmob detall'!Z472</f>
        <v>0</v>
      </c>
      <c r="AF72" s="162">
        <f>+'Proyectos Inmob detall'!AA472</f>
        <v>0</v>
      </c>
    </row>
    <row r="73" spans="2:32" s="4" customFormat="1" hidden="1" outlineLevel="3">
      <c r="B73" s="160" t="s">
        <v>14</v>
      </c>
      <c r="C73" s="160"/>
      <c r="D73" s="160"/>
      <c r="E73" s="160"/>
      <c r="F73" s="160"/>
      <c r="G73" s="160"/>
      <c r="H73" s="157"/>
      <c r="I73" s="157"/>
      <c r="J73" s="162"/>
      <c r="K73" s="162"/>
      <c r="L73" s="162">
        <f>+'Proyectos Inmob detall'!G581</f>
        <v>0</v>
      </c>
      <c r="M73" s="162">
        <f>+'Proyectos Inmob detall'!H581</f>
        <v>156.70254599999998</v>
      </c>
      <c r="N73" s="162">
        <f>+'Proyectos Inmob detall'!I581</f>
        <v>726.84729651258021</v>
      </c>
      <c r="O73" s="162">
        <f>+'Proyectos Inmob detall'!J581</f>
        <v>1764.8587141099861</v>
      </c>
      <c r="P73" s="162">
        <f>+'Proyectos Inmob detall'!K581</f>
        <v>3121.8322269870205</v>
      </c>
      <c r="Q73" s="162">
        <f>+'Proyectos Inmob detall'!L581</f>
        <v>4516.6836222811007</v>
      </c>
      <c r="R73" s="162">
        <f>+'Proyectos Inmob detall'!M581</f>
        <v>6027.0525276687449</v>
      </c>
      <c r="S73" s="162">
        <f>+'Proyectos Inmob detall'!N581</f>
        <v>7384.3368403949198</v>
      </c>
      <c r="T73" s="162">
        <f>+'Proyectos Inmob detall'!O581</f>
        <v>8710.6797782341546</v>
      </c>
      <c r="U73" s="162">
        <f>+'Proyectos Inmob detall'!P581</f>
        <v>9593.7116075954691</v>
      </c>
      <c r="V73" s="162">
        <f>+'Proyectos Inmob detall'!Q581</f>
        <v>10500.48372487861</v>
      </c>
      <c r="W73" s="162">
        <f>+'Proyectos Inmob detall'!R581</f>
        <v>11405.257548930453</v>
      </c>
      <c r="X73" s="162">
        <f>+'Proyectos Inmob detall'!S581</f>
        <v>11750.408376962378</v>
      </c>
      <c r="Y73" s="162">
        <f>+'Proyectos Inmob detall'!T581</f>
        <v>11121.553079125308</v>
      </c>
      <c r="Z73" s="162">
        <f>+'Proyectos Inmob detall'!U581</f>
        <v>11540.720619916361</v>
      </c>
      <c r="AA73" s="162">
        <f>+'Proyectos Inmob detall'!V581</f>
        <v>12122.67095684277</v>
      </c>
      <c r="AB73" s="162">
        <f>+'Proyectos Inmob detall'!W581</f>
        <v>12823.619303743088</v>
      </c>
      <c r="AC73" s="162">
        <f>+'Proyectos Inmob detall'!X581</f>
        <v>12940.525371193011</v>
      </c>
      <c r="AD73" s="162">
        <f>+'Proyectos Inmob detall'!Y581</f>
        <v>14868.015194465215</v>
      </c>
      <c r="AE73" s="162">
        <f>+'Proyectos Inmob detall'!Z581</f>
        <v>14072.312626230007</v>
      </c>
      <c r="AF73" s="162">
        <f>+'Proyectos Inmob detall'!AA581</f>
        <v>14602.693287529122</v>
      </c>
    </row>
    <row r="74" spans="2:32" s="4" customFormat="1" hidden="1" outlineLevel="2" collapsed="1">
      <c r="B74" s="159" t="s">
        <v>12</v>
      </c>
      <c r="C74" s="159"/>
      <c r="D74" s="159"/>
      <c r="E74" s="159"/>
      <c r="F74" s="159"/>
      <c r="G74" s="159"/>
      <c r="H74" s="157"/>
      <c r="I74" s="157"/>
      <c r="J74" s="162">
        <f>+SUBTOTAL(9,J75:J76)</f>
        <v>0</v>
      </c>
      <c r="K74" s="162">
        <f>+SUBTOTAL(9,K75:K76)</f>
        <v>0</v>
      </c>
      <c r="L74" s="162">
        <f>+SUBTOTAL(9,L75:L76)</f>
        <v>2427.513114233052</v>
      </c>
      <c r="M74" s="162">
        <f t="shared" ref="M74:AF74" si="24">+SUBTOTAL(9,M75:M76)</f>
        <v>2349.7075542069483</v>
      </c>
      <c r="N74" s="162">
        <f t="shared" si="24"/>
        <v>3071.708196106501</v>
      </c>
      <c r="O74" s="162">
        <f t="shared" si="24"/>
        <v>3873.917521050596</v>
      </c>
      <c r="P74" s="162">
        <f t="shared" si="24"/>
        <v>3354.7762117367747</v>
      </c>
      <c r="Q74" s="162">
        <f t="shared" si="24"/>
        <v>4828.6659176049552</v>
      </c>
      <c r="R74" s="162">
        <f t="shared" si="24"/>
        <v>6699.7419039091528</v>
      </c>
      <c r="S74" s="162">
        <f t="shared" si="24"/>
        <v>7619.6617472299768</v>
      </c>
      <c r="T74" s="162">
        <f t="shared" si="24"/>
        <v>9012.5692859566861</v>
      </c>
      <c r="U74" s="162">
        <f t="shared" si="24"/>
        <v>9899.9578192162226</v>
      </c>
      <c r="V74" s="162">
        <f t="shared" si="24"/>
        <v>10863.269505841663</v>
      </c>
      <c r="W74" s="162">
        <f t="shared" si="24"/>
        <v>11860.433561212461</v>
      </c>
      <c r="X74" s="162">
        <f t="shared" si="24"/>
        <v>12465.503418249544</v>
      </c>
      <c r="Y74" s="162">
        <f t="shared" si="24"/>
        <v>11996.428297078393</v>
      </c>
      <c r="Z74" s="162">
        <f t="shared" si="24"/>
        <v>12234.606348350635</v>
      </c>
      <c r="AA74" s="162">
        <f t="shared" si="24"/>
        <v>12653.355938686664</v>
      </c>
      <c r="AB74" s="162">
        <f t="shared" si="24"/>
        <v>13259.399158851302</v>
      </c>
      <c r="AC74" s="162">
        <f t="shared" si="24"/>
        <v>13170.682706602191</v>
      </c>
      <c r="AD74" s="162">
        <f t="shared" si="24"/>
        <v>15772.838550238048</v>
      </c>
      <c r="AE74" s="162">
        <f t="shared" si="24"/>
        <v>15179.308878316879</v>
      </c>
      <c r="AF74" s="162">
        <f t="shared" si="24"/>
        <v>15480.680096379958</v>
      </c>
    </row>
    <row r="75" spans="2:32" s="4" customFormat="1" hidden="1" outlineLevel="3">
      <c r="B75" s="160" t="s">
        <v>13</v>
      </c>
      <c r="C75" s="160"/>
      <c r="D75" s="160"/>
      <c r="E75" s="160"/>
      <c r="F75" s="160"/>
      <c r="G75" s="160"/>
      <c r="H75" s="157"/>
      <c r="I75" s="157"/>
      <c r="J75" s="162"/>
      <c r="K75" s="163"/>
      <c r="L75" s="163">
        <f>+'Proyectos Inmob detall'!G508</f>
        <v>2427.513114233052</v>
      </c>
      <c r="M75" s="163">
        <f>+'Proyectos Inmob detall'!H508</f>
        <v>2214.5725542069481</v>
      </c>
      <c r="N75" s="163">
        <f>+'Proyectos Inmob detall'!I508</f>
        <v>2440.5548670742428</v>
      </c>
      <c r="O75" s="163">
        <f>+'Proyectos Inmob detall'!J508</f>
        <v>2290.8751416957571</v>
      </c>
      <c r="P75" s="163">
        <f>+'Proyectos Inmob detall'!K508</f>
        <v>448.35599999999999</v>
      </c>
      <c r="Q75" s="163">
        <f>+'Proyectos Inmob detall'!L508</f>
        <v>444.65724999999998</v>
      </c>
      <c r="R75" s="163">
        <f>+'Proyectos Inmob detall'!M508</f>
        <v>596.49374999999986</v>
      </c>
      <c r="S75" s="163">
        <f>+'Proyectos Inmob detall'!N508</f>
        <v>0</v>
      </c>
      <c r="T75" s="163">
        <f>+'Proyectos Inmob detall'!O508</f>
        <v>0</v>
      </c>
      <c r="U75" s="163">
        <f>+'Proyectos Inmob detall'!P508</f>
        <v>0</v>
      </c>
      <c r="V75" s="163">
        <f>+'Proyectos Inmob detall'!Q508</f>
        <v>0</v>
      </c>
      <c r="W75" s="163">
        <f>+'Proyectos Inmob detall'!R508</f>
        <v>0</v>
      </c>
      <c r="X75" s="163">
        <f>+'Proyectos Inmob detall'!S508</f>
        <v>0</v>
      </c>
      <c r="Y75" s="163">
        <f>+'Proyectos Inmob detall'!T508</f>
        <v>0</v>
      </c>
      <c r="Z75" s="163">
        <f>+'Proyectos Inmob detall'!U508</f>
        <v>0</v>
      </c>
      <c r="AA75" s="163">
        <f>+'Proyectos Inmob detall'!V508</f>
        <v>0</v>
      </c>
      <c r="AB75" s="163">
        <f>+'Proyectos Inmob detall'!W508</f>
        <v>0</v>
      </c>
      <c r="AC75" s="163">
        <f>+'Proyectos Inmob detall'!X508</f>
        <v>0</v>
      </c>
      <c r="AD75" s="163">
        <f>+'Proyectos Inmob detall'!Y508</f>
        <v>0</v>
      </c>
      <c r="AE75" s="163">
        <f>+'Proyectos Inmob detall'!Z508</f>
        <v>0</v>
      </c>
      <c r="AF75" s="163">
        <f>+'Proyectos Inmob detall'!AA508</f>
        <v>0</v>
      </c>
    </row>
    <row r="76" spans="2:32" s="4" customFormat="1" hidden="1" outlineLevel="3">
      <c r="B76" s="160" t="s">
        <v>14</v>
      </c>
      <c r="C76" s="160"/>
      <c r="D76" s="160"/>
      <c r="E76" s="160"/>
      <c r="F76" s="160"/>
      <c r="G76" s="160"/>
      <c r="H76" s="157"/>
      <c r="I76" s="157"/>
      <c r="J76" s="162"/>
      <c r="K76" s="163"/>
      <c r="L76" s="163">
        <f t="shared" ref="L76:AF76" si="25">+L39</f>
        <v>0</v>
      </c>
      <c r="M76" s="163">
        <f t="shared" si="25"/>
        <v>135.13500000000002</v>
      </c>
      <c r="N76" s="163">
        <f t="shared" si="25"/>
        <v>631.15332903225817</v>
      </c>
      <c r="O76" s="163">
        <f t="shared" si="25"/>
        <v>1583.0423793548389</v>
      </c>
      <c r="P76" s="163">
        <f t="shared" si="25"/>
        <v>2906.4202117367749</v>
      </c>
      <c r="Q76" s="163">
        <f t="shared" si="25"/>
        <v>4384.008667604955</v>
      </c>
      <c r="R76" s="163">
        <f t="shared" si="25"/>
        <v>6103.2481539091532</v>
      </c>
      <c r="S76" s="163">
        <f t="shared" si="25"/>
        <v>7619.6617472299768</v>
      </c>
      <c r="T76" s="163">
        <f t="shared" si="25"/>
        <v>9012.5692859566861</v>
      </c>
      <c r="U76" s="163">
        <f t="shared" si="25"/>
        <v>9899.9578192162226</v>
      </c>
      <c r="V76" s="163">
        <f t="shared" si="25"/>
        <v>10863.269505841663</v>
      </c>
      <c r="W76" s="163">
        <f t="shared" si="25"/>
        <v>11860.433561212461</v>
      </c>
      <c r="X76" s="163">
        <f t="shared" si="25"/>
        <v>12465.503418249544</v>
      </c>
      <c r="Y76" s="163">
        <f t="shared" si="25"/>
        <v>11996.428297078393</v>
      </c>
      <c r="Z76" s="163">
        <f t="shared" si="25"/>
        <v>12234.606348350635</v>
      </c>
      <c r="AA76" s="163">
        <f t="shared" si="25"/>
        <v>12653.355938686664</v>
      </c>
      <c r="AB76" s="163">
        <f t="shared" si="25"/>
        <v>13259.399158851302</v>
      </c>
      <c r="AC76" s="163">
        <f t="shared" si="25"/>
        <v>13170.682706602191</v>
      </c>
      <c r="AD76" s="163">
        <f t="shared" si="25"/>
        <v>15772.838550238048</v>
      </c>
      <c r="AE76" s="163">
        <f t="shared" si="25"/>
        <v>15179.308878316879</v>
      </c>
      <c r="AF76" s="163">
        <f t="shared" si="25"/>
        <v>15480.680096379958</v>
      </c>
    </row>
    <row r="77" spans="2:32" hidden="1" outlineLevel="2" collapsed="1">
      <c r="B77" s="91"/>
      <c r="C77" s="91"/>
      <c r="D77" s="91"/>
      <c r="E77" s="91"/>
      <c r="F77" s="91"/>
      <c r="G77" s="91"/>
      <c r="H77" s="91"/>
      <c r="I77" s="91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</row>
    <row r="78" spans="2:32" outlineLevel="1" collapsed="1">
      <c r="B78" s="101" t="s">
        <v>298</v>
      </c>
      <c r="C78" s="101"/>
      <c r="D78" s="101"/>
      <c r="E78" s="101"/>
      <c r="F78" s="101"/>
      <c r="G78" s="101"/>
      <c r="H78" s="101"/>
      <c r="I78" s="101"/>
      <c r="J78" s="103"/>
      <c r="K78" s="103"/>
      <c r="L78" s="108">
        <f t="shared" ref="L78:AF78" si="26">+L61/L43</f>
        <v>0.31378941312226699</v>
      </c>
      <c r="M78" s="108">
        <f t="shared" si="26"/>
        <v>0.71564845035284208</v>
      </c>
      <c r="N78" s="108">
        <f t="shared" si="26"/>
        <v>0.54137152519326293</v>
      </c>
      <c r="O78" s="108">
        <f t="shared" si="26"/>
        <v>0.53393160900600589</v>
      </c>
      <c r="P78" s="108">
        <f t="shared" si="26"/>
        <v>0.45948202782573211</v>
      </c>
      <c r="Q78" s="108">
        <f t="shared" si="26"/>
        <v>0.4800045231293249</v>
      </c>
      <c r="R78" s="108">
        <f t="shared" si="26"/>
        <v>0.53710372224414504</v>
      </c>
      <c r="S78" s="108">
        <f t="shared" si="26"/>
        <v>0.55192925966994011</v>
      </c>
      <c r="T78" s="108">
        <f t="shared" si="26"/>
        <v>0.57626675109468439</v>
      </c>
      <c r="U78" s="108">
        <f t="shared" si="26"/>
        <v>0.58329951455221918</v>
      </c>
      <c r="V78" s="108">
        <f t="shared" si="26"/>
        <v>0.58909083616712277</v>
      </c>
      <c r="W78" s="108">
        <f t="shared" si="26"/>
        <v>0.59776589238008992</v>
      </c>
      <c r="X78" s="108">
        <f t="shared" si="26"/>
        <v>0.59001207293949076</v>
      </c>
      <c r="Y78" s="108">
        <f t="shared" si="26"/>
        <v>0.56122642908404208</v>
      </c>
      <c r="Z78" s="108">
        <f t="shared" si="26"/>
        <v>0.55257306458457833</v>
      </c>
      <c r="AA78" s="108">
        <f t="shared" si="26"/>
        <v>0.54702103883274211</v>
      </c>
      <c r="AB78" s="108">
        <f t="shared" si="26"/>
        <v>0.54358342525583681</v>
      </c>
      <c r="AC78" s="108">
        <f t="shared" si="26"/>
        <v>0.53283945165563973</v>
      </c>
      <c r="AD78" s="108">
        <f t="shared" si="26"/>
        <v>0.55318352660065351</v>
      </c>
      <c r="AE78" s="108">
        <f t="shared" si="26"/>
        <v>0.52378036305378728</v>
      </c>
      <c r="AF78" s="108">
        <f t="shared" si="26"/>
        <v>0.51491115524785502</v>
      </c>
    </row>
    <row r="79" spans="2:3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2:32">
      <c r="B80" s="94" t="s">
        <v>21</v>
      </c>
      <c r="C80" s="94"/>
      <c r="D80" s="94"/>
      <c r="E80" s="94"/>
      <c r="F80" s="94"/>
      <c r="G80" s="94"/>
      <c r="H80" s="94"/>
      <c r="I80" s="94"/>
      <c r="J80" s="109">
        <f t="shared" ref="J80:AF80" si="27">+IF(ISERROR(J43/J5),0,J43/J5)</f>
        <v>0</v>
      </c>
      <c r="K80" s="109">
        <f t="shared" si="27"/>
        <v>8.4207581479927268E-2</v>
      </c>
      <c r="L80" s="109">
        <f t="shared" si="27"/>
        <v>9.0710387373794193E-2</v>
      </c>
      <c r="M80" s="109">
        <f t="shared" si="27"/>
        <v>6.0675592549283494E-2</v>
      </c>
      <c r="N80" s="109">
        <f t="shared" si="27"/>
        <v>6.9388303509137342E-2</v>
      </c>
      <c r="O80" s="109">
        <f t="shared" si="27"/>
        <v>8.7675973774377886E-2</v>
      </c>
      <c r="P80" s="109">
        <f t="shared" si="27"/>
        <v>8.755939979236238E-2</v>
      </c>
      <c r="Q80" s="109">
        <f t="shared" si="27"/>
        <v>9.1393164339782298E-2</v>
      </c>
      <c r="R80" s="109">
        <f t="shared" si="27"/>
        <v>9.600625559756111E-2</v>
      </c>
      <c r="S80" s="109">
        <f t="shared" si="27"/>
        <v>9.7109919820593527E-2</v>
      </c>
      <c r="T80" s="109">
        <f t="shared" si="27"/>
        <v>9.9094307183968139E-2</v>
      </c>
      <c r="U80" s="109">
        <f t="shared" si="27"/>
        <v>9.9546791305900023E-2</v>
      </c>
      <c r="V80" s="109">
        <f t="shared" si="27"/>
        <v>9.9948157664351209E-2</v>
      </c>
      <c r="W80" s="109">
        <f t="shared" si="27"/>
        <v>0.10075227906232952</v>
      </c>
      <c r="X80" s="109">
        <f t="shared" si="27"/>
        <v>0.10008660986319441</v>
      </c>
      <c r="Y80" s="109">
        <f t="shared" si="27"/>
        <v>9.7499174451650239E-2</v>
      </c>
      <c r="Z80" s="109">
        <f t="shared" si="27"/>
        <v>9.6453757497810488E-2</v>
      </c>
      <c r="AA80" s="109">
        <f t="shared" si="27"/>
        <v>9.5712535944706703E-2</v>
      </c>
      <c r="AB80" s="109">
        <f t="shared" si="27"/>
        <v>9.5213198070535188E-2</v>
      </c>
      <c r="AC80" s="109">
        <f t="shared" si="27"/>
        <v>9.4151849516815322E-2</v>
      </c>
      <c r="AD80" s="109">
        <f t="shared" si="27"/>
        <v>9.6079754706811807E-2</v>
      </c>
      <c r="AE80" s="109">
        <f t="shared" si="27"/>
        <v>9.3596190950005292E-2</v>
      </c>
      <c r="AF80" s="109">
        <f t="shared" si="27"/>
        <v>9.2618441593571257E-2</v>
      </c>
    </row>
    <row r="81" spans="2:32" outlineLevel="1">
      <c r="B81" s="156" t="s">
        <v>22</v>
      </c>
      <c r="C81" s="156"/>
      <c r="D81" s="156"/>
      <c r="E81" s="156"/>
      <c r="F81" s="156"/>
      <c r="G81" s="156"/>
      <c r="H81" s="107"/>
      <c r="I81" s="107"/>
      <c r="J81" s="110">
        <f t="shared" ref="J81:AF81" si="28">+IF(ISERROR(J44/J6),0,J44/J6)</f>
        <v>0</v>
      </c>
      <c r="K81" s="110">
        <f t="shared" si="28"/>
        <v>8.4207581479927268E-2</v>
      </c>
      <c r="L81" s="110">
        <f t="shared" si="28"/>
        <v>8.6790954902343356E-2</v>
      </c>
      <c r="M81" s="110">
        <f t="shared" si="28"/>
        <v>2.310987990697997E-2</v>
      </c>
      <c r="N81" s="110">
        <f t="shared" si="28"/>
        <v>4.2070814012841809E-2</v>
      </c>
      <c r="O81" s="110">
        <f t="shared" si="28"/>
        <v>6.2425485781854743E-2</v>
      </c>
      <c r="P81" s="110">
        <f t="shared" si="28"/>
        <v>6.3692424701797118E-2</v>
      </c>
      <c r="Q81" s="110">
        <f t="shared" si="28"/>
        <v>6.5781748801948911E-2</v>
      </c>
      <c r="R81" s="110">
        <f t="shared" si="28"/>
        <v>6.5610508938361442E-2</v>
      </c>
      <c r="S81" s="110">
        <f t="shared" si="28"/>
        <v>6.5444109370952699E-2</v>
      </c>
      <c r="T81" s="110">
        <f t="shared" si="28"/>
        <v>6.5282426831478932E-2</v>
      </c>
      <c r="U81" s="110">
        <f t="shared" si="28"/>
        <v>6.5125340393668699E-2</v>
      </c>
      <c r="V81" s="110">
        <f t="shared" si="28"/>
        <v>6.4972731477855858E-2</v>
      </c>
      <c r="W81" s="110">
        <f t="shared" si="28"/>
        <v>6.4925434708325291E-2</v>
      </c>
      <c r="X81" s="110">
        <f t="shared" si="28"/>
        <v>6.4778541018345251E-2</v>
      </c>
      <c r="Y81" s="110">
        <f t="shared" si="28"/>
        <v>6.4635859240448262E-2</v>
      </c>
      <c r="Z81" s="110">
        <f t="shared" si="28"/>
        <v>6.4497278563007229E-2</v>
      </c>
      <c r="AA81" s="110">
        <f t="shared" si="28"/>
        <v>6.436269050067632E-2</v>
      </c>
      <c r="AB81" s="110">
        <f t="shared" si="28"/>
        <v>6.4231988881680566E-2</v>
      </c>
      <c r="AC81" s="110">
        <f t="shared" si="28"/>
        <v>6.4191491691500457E-2</v>
      </c>
      <c r="AD81" s="110">
        <f t="shared" si="28"/>
        <v>6.4065746321427058E-2</v>
      </c>
      <c r="AE81" s="110">
        <f t="shared" si="28"/>
        <v>6.3943650306580932E-2</v>
      </c>
      <c r="AF81" s="110">
        <f t="shared" si="28"/>
        <v>6.3825105025007725E-2</v>
      </c>
    </row>
    <row r="82" spans="2:32" s="4" customFormat="1" hidden="1" outlineLevel="2">
      <c r="B82" s="159" t="s">
        <v>7</v>
      </c>
      <c r="C82" s="159"/>
      <c r="D82" s="159"/>
      <c r="E82" s="159"/>
      <c r="F82" s="159"/>
      <c r="G82" s="159"/>
      <c r="H82" s="91"/>
      <c r="I82" s="91"/>
      <c r="J82" s="111">
        <f t="shared" ref="J82:AF82" si="29">+IF(ISERROR(J45/J7),0,J45/J7)</f>
        <v>0</v>
      </c>
      <c r="K82" s="111">
        <f t="shared" si="29"/>
        <v>0.19667463842386973</v>
      </c>
      <c r="L82" s="111">
        <f t="shared" si="29"/>
        <v>0.30615784908933219</v>
      </c>
      <c r="M82" s="111">
        <f t="shared" si="29"/>
        <v>0.1</v>
      </c>
      <c r="N82" s="111">
        <f t="shared" si="29"/>
        <v>0.15</v>
      </c>
      <c r="O82" s="111">
        <f t="shared" si="29"/>
        <v>0.2</v>
      </c>
      <c r="P82" s="111">
        <f t="shared" si="29"/>
        <v>0.25</v>
      </c>
      <c r="Q82" s="111">
        <f t="shared" si="29"/>
        <v>0.25</v>
      </c>
      <c r="R82" s="111">
        <f t="shared" si="29"/>
        <v>0.25</v>
      </c>
      <c r="S82" s="111">
        <f t="shared" si="29"/>
        <v>0.25</v>
      </c>
      <c r="T82" s="111">
        <f t="shared" si="29"/>
        <v>0.25</v>
      </c>
      <c r="U82" s="111">
        <f t="shared" si="29"/>
        <v>0.25</v>
      </c>
      <c r="V82" s="111">
        <f t="shared" si="29"/>
        <v>0.25</v>
      </c>
      <c r="W82" s="111">
        <f t="shared" si="29"/>
        <v>0.25</v>
      </c>
      <c r="X82" s="111">
        <f t="shared" si="29"/>
        <v>0.25</v>
      </c>
      <c r="Y82" s="111">
        <f t="shared" si="29"/>
        <v>0.25</v>
      </c>
      <c r="Z82" s="111">
        <f t="shared" si="29"/>
        <v>0.25</v>
      </c>
      <c r="AA82" s="111">
        <f t="shared" si="29"/>
        <v>0.25</v>
      </c>
      <c r="AB82" s="111">
        <f t="shared" si="29"/>
        <v>0.25</v>
      </c>
      <c r="AC82" s="111">
        <f t="shared" si="29"/>
        <v>0.25</v>
      </c>
      <c r="AD82" s="111">
        <f t="shared" si="29"/>
        <v>0.25</v>
      </c>
      <c r="AE82" s="111">
        <f t="shared" si="29"/>
        <v>0.25</v>
      </c>
      <c r="AF82" s="111">
        <f t="shared" si="29"/>
        <v>0.25</v>
      </c>
    </row>
    <row r="83" spans="2:32" s="4" customFormat="1" hidden="1" outlineLevel="3">
      <c r="B83" s="160" t="s">
        <v>13</v>
      </c>
      <c r="C83" s="160"/>
      <c r="D83" s="160"/>
      <c r="E83" s="160"/>
      <c r="F83" s="160"/>
      <c r="G83" s="160"/>
      <c r="H83" s="91"/>
      <c r="I83" s="91"/>
      <c r="J83" s="111">
        <f t="shared" ref="J83:AF83" si="30">+IF(ISERROR(J46/J8),0,J46/J8)</f>
        <v>0</v>
      </c>
      <c r="K83" s="111">
        <f t="shared" si="30"/>
        <v>0.19667463842386973</v>
      </c>
      <c r="L83" s="111">
        <f t="shared" si="30"/>
        <v>0.16160740098294304</v>
      </c>
      <c r="M83" s="111">
        <f t="shared" si="30"/>
        <v>0</v>
      </c>
      <c r="N83" s="111">
        <f t="shared" si="30"/>
        <v>0</v>
      </c>
      <c r="O83" s="111">
        <f t="shared" si="30"/>
        <v>0</v>
      </c>
      <c r="P83" s="111">
        <f t="shared" si="30"/>
        <v>0</v>
      </c>
      <c r="Q83" s="111">
        <f t="shared" si="30"/>
        <v>0</v>
      </c>
      <c r="R83" s="111">
        <f t="shared" si="30"/>
        <v>0</v>
      </c>
      <c r="S83" s="111">
        <f t="shared" si="30"/>
        <v>0</v>
      </c>
      <c r="T83" s="111">
        <f t="shared" si="30"/>
        <v>0</v>
      </c>
      <c r="U83" s="111">
        <f t="shared" si="30"/>
        <v>0</v>
      </c>
      <c r="V83" s="111">
        <f t="shared" si="30"/>
        <v>0</v>
      </c>
      <c r="W83" s="111">
        <f t="shared" si="30"/>
        <v>0</v>
      </c>
      <c r="X83" s="111">
        <f t="shared" si="30"/>
        <v>0</v>
      </c>
      <c r="Y83" s="111">
        <f t="shared" si="30"/>
        <v>0</v>
      </c>
      <c r="Z83" s="111">
        <f t="shared" si="30"/>
        <v>0</v>
      </c>
      <c r="AA83" s="111">
        <f t="shared" si="30"/>
        <v>0</v>
      </c>
      <c r="AB83" s="111">
        <f t="shared" si="30"/>
        <v>0</v>
      </c>
      <c r="AC83" s="111">
        <f t="shared" si="30"/>
        <v>0</v>
      </c>
      <c r="AD83" s="111">
        <f t="shared" si="30"/>
        <v>0</v>
      </c>
      <c r="AE83" s="111">
        <f t="shared" si="30"/>
        <v>0</v>
      </c>
      <c r="AF83" s="111">
        <f t="shared" si="30"/>
        <v>0</v>
      </c>
    </row>
    <row r="84" spans="2:32" s="4" customFormat="1" hidden="1" outlineLevel="3">
      <c r="B84" s="160" t="s">
        <v>14</v>
      </c>
      <c r="C84" s="160"/>
      <c r="D84" s="160"/>
      <c r="E84" s="160"/>
      <c r="F84" s="160"/>
      <c r="G84" s="160"/>
      <c r="H84" s="91"/>
      <c r="I84" s="91"/>
      <c r="J84" s="111">
        <f t="shared" ref="J84:AF84" si="31">+IF(ISERROR(J47/J9),0,J47/J9)</f>
        <v>0</v>
      </c>
      <c r="K84" s="111">
        <f t="shared" si="31"/>
        <v>0</v>
      </c>
      <c r="L84" s="111">
        <f t="shared" si="31"/>
        <v>0</v>
      </c>
      <c r="M84" s="111">
        <f t="shared" si="31"/>
        <v>0.1</v>
      </c>
      <c r="N84" s="111">
        <f t="shared" si="31"/>
        <v>0.15</v>
      </c>
      <c r="O84" s="111">
        <f t="shared" si="31"/>
        <v>0.2</v>
      </c>
      <c r="P84" s="111">
        <f t="shared" si="31"/>
        <v>0.25</v>
      </c>
      <c r="Q84" s="111">
        <f t="shared" si="31"/>
        <v>0.25</v>
      </c>
      <c r="R84" s="111">
        <f t="shared" si="31"/>
        <v>0.25</v>
      </c>
      <c r="S84" s="111">
        <f t="shared" si="31"/>
        <v>0.25</v>
      </c>
      <c r="T84" s="111">
        <f t="shared" si="31"/>
        <v>0.25</v>
      </c>
      <c r="U84" s="111">
        <f t="shared" si="31"/>
        <v>0.25</v>
      </c>
      <c r="V84" s="111">
        <f t="shared" si="31"/>
        <v>0.25</v>
      </c>
      <c r="W84" s="111">
        <f t="shared" si="31"/>
        <v>0.25</v>
      </c>
      <c r="X84" s="111">
        <f t="shared" si="31"/>
        <v>0.25</v>
      </c>
      <c r="Y84" s="111">
        <f t="shared" si="31"/>
        <v>0.25</v>
      </c>
      <c r="Z84" s="111">
        <f t="shared" si="31"/>
        <v>0.25</v>
      </c>
      <c r="AA84" s="111">
        <f t="shared" si="31"/>
        <v>0.25</v>
      </c>
      <c r="AB84" s="111">
        <f t="shared" si="31"/>
        <v>0.25</v>
      </c>
      <c r="AC84" s="111">
        <f t="shared" si="31"/>
        <v>0.25</v>
      </c>
      <c r="AD84" s="111">
        <f t="shared" si="31"/>
        <v>0.25</v>
      </c>
      <c r="AE84" s="111">
        <f t="shared" si="31"/>
        <v>0.25</v>
      </c>
      <c r="AF84" s="111">
        <f t="shared" si="31"/>
        <v>0.25</v>
      </c>
    </row>
    <row r="85" spans="2:32" s="4" customFormat="1" hidden="1" outlineLevel="2" collapsed="1">
      <c r="B85" s="159" t="s">
        <v>6</v>
      </c>
      <c r="C85" s="159"/>
      <c r="D85" s="159"/>
      <c r="E85" s="159"/>
      <c r="F85" s="159"/>
      <c r="G85" s="159"/>
      <c r="H85" s="91"/>
      <c r="I85" s="91"/>
      <c r="J85" s="111">
        <f t="shared" ref="J85:AF85" si="32">+IF(ISERROR(J48/J10),0,J48/J10)</f>
        <v>0</v>
      </c>
      <c r="K85" s="111">
        <f t="shared" si="32"/>
        <v>6.7806442256562308E-2</v>
      </c>
      <c r="L85" s="111">
        <f t="shared" si="32"/>
        <v>7.1846153846153851E-2</v>
      </c>
      <c r="M85" s="111">
        <f t="shared" si="32"/>
        <v>0.03</v>
      </c>
      <c r="N85" s="111">
        <f t="shared" si="32"/>
        <v>0.04</v>
      </c>
      <c r="O85" s="111">
        <f t="shared" si="32"/>
        <v>0.06</v>
      </c>
      <c r="P85" s="111">
        <f t="shared" si="32"/>
        <v>0.06</v>
      </c>
      <c r="Q85" s="111">
        <f t="shared" si="32"/>
        <v>5.9999999999999991E-2</v>
      </c>
      <c r="R85" s="111">
        <f t="shared" si="32"/>
        <v>0.06</v>
      </c>
      <c r="S85" s="111">
        <f t="shared" si="32"/>
        <v>0.06</v>
      </c>
      <c r="T85" s="111">
        <f t="shared" si="32"/>
        <v>0.06</v>
      </c>
      <c r="U85" s="111">
        <f t="shared" si="32"/>
        <v>0.06</v>
      </c>
      <c r="V85" s="111">
        <f t="shared" si="32"/>
        <v>0.06</v>
      </c>
      <c r="W85" s="111">
        <f t="shared" si="32"/>
        <v>0.06</v>
      </c>
      <c r="X85" s="111">
        <f t="shared" si="32"/>
        <v>0.06</v>
      </c>
      <c r="Y85" s="111">
        <f t="shared" si="32"/>
        <v>0.06</v>
      </c>
      <c r="Z85" s="111">
        <f t="shared" si="32"/>
        <v>5.9999999999999991E-2</v>
      </c>
      <c r="AA85" s="111">
        <f t="shared" si="32"/>
        <v>6.0000000000000005E-2</v>
      </c>
      <c r="AB85" s="111">
        <f t="shared" si="32"/>
        <v>0.06</v>
      </c>
      <c r="AC85" s="111">
        <f t="shared" si="32"/>
        <v>0.06</v>
      </c>
      <c r="AD85" s="111">
        <f t="shared" si="32"/>
        <v>0.06</v>
      </c>
      <c r="AE85" s="111">
        <f t="shared" si="32"/>
        <v>5.9999999999999991E-2</v>
      </c>
      <c r="AF85" s="111">
        <f t="shared" si="32"/>
        <v>0</v>
      </c>
    </row>
    <row r="86" spans="2:32" s="4" customFormat="1" hidden="1" outlineLevel="3">
      <c r="B86" s="160" t="s">
        <v>13</v>
      </c>
      <c r="C86" s="160"/>
      <c r="D86" s="160"/>
      <c r="E86" s="160"/>
      <c r="F86" s="160"/>
      <c r="G86" s="160"/>
      <c r="H86" s="91"/>
      <c r="I86" s="91"/>
      <c r="J86" s="111">
        <f t="shared" ref="J86:AF86" si="33">+IF(ISERROR(J49/J11),0,J49/J11)</f>
        <v>0</v>
      </c>
      <c r="K86" s="111">
        <f t="shared" si="33"/>
        <v>6.7806442256562308E-2</v>
      </c>
      <c r="L86" s="111">
        <f t="shared" si="33"/>
        <v>5.3384615384615385E-2</v>
      </c>
      <c r="M86" s="111">
        <f t="shared" si="33"/>
        <v>0.03</v>
      </c>
      <c r="N86" s="111">
        <f t="shared" si="33"/>
        <v>0</v>
      </c>
      <c r="O86" s="111">
        <f t="shared" si="33"/>
        <v>0</v>
      </c>
      <c r="P86" s="111">
        <f t="shared" si="33"/>
        <v>0</v>
      </c>
      <c r="Q86" s="111">
        <f t="shared" si="33"/>
        <v>0</v>
      </c>
      <c r="R86" s="111">
        <f t="shared" si="33"/>
        <v>0</v>
      </c>
      <c r="S86" s="111">
        <f t="shared" si="33"/>
        <v>0</v>
      </c>
      <c r="T86" s="111">
        <f t="shared" si="33"/>
        <v>0</v>
      </c>
      <c r="U86" s="111">
        <f t="shared" si="33"/>
        <v>0</v>
      </c>
      <c r="V86" s="111">
        <f t="shared" si="33"/>
        <v>0</v>
      </c>
      <c r="W86" s="111">
        <f t="shared" si="33"/>
        <v>0</v>
      </c>
      <c r="X86" s="111">
        <f t="shared" si="33"/>
        <v>0</v>
      </c>
      <c r="Y86" s="111">
        <f t="shared" si="33"/>
        <v>0</v>
      </c>
      <c r="Z86" s="111">
        <f t="shared" si="33"/>
        <v>0</v>
      </c>
      <c r="AA86" s="111">
        <f t="shared" si="33"/>
        <v>0</v>
      </c>
      <c r="AB86" s="111">
        <f t="shared" si="33"/>
        <v>0</v>
      </c>
      <c r="AC86" s="111">
        <f t="shared" si="33"/>
        <v>0</v>
      </c>
      <c r="AD86" s="111">
        <f t="shared" si="33"/>
        <v>0</v>
      </c>
      <c r="AE86" s="111">
        <f t="shared" si="33"/>
        <v>0</v>
      </c>
      <c r="AF86" s="111">
        <f t="shared" si="33"/>
        <v>0</v>
      </c>
    </row>
    <row r="87" spans="2:32" s="4" customFormat="1" hidden="1" outlineLevel="3">
      <c r="B87" s="160" t="s">
        <v>14</v>
      </c>
      <c r="C87" s="160"/>
      <c r="D87" s="160"/>
      <c r="E87" s="160"/>
      <c r="F87" s="160"/>
      <c r="G87" s="160"/>
      <c r="H87" s="91"/>
      <c r="I87" s="91"/>
      <c r="J87" s="111">
        <f t="shared" ref="J87:AF87" si="34">+IF(ISERROR(J50/J12),0,J50/J12)</f>
        <v>0</v>
      </c>
      <c r="K87" s="111">
        <f t="shared" si="34"/>
        <v>0</v>
      </c>
      <c r="L87" s="111">
        <f t="shared" si="34"/>
        <v>0</v>
      </c>
      <c r="M87" s="111">
        <f t="shared" si="34"/>
        <v>0.03</v>
      </c>
      <c r="N87" s="111">
        <f t="shared" si="34"/>
        <v>0.04</v>
      </c>
      <c r="O87" s="111">
        <f t="shared" si="34"/>
        <v>0.06</v>
      </c>
      <c r="P87" s="111">
        <f t="shared" si="34"/>
        <v>0.06</v>
      </c>
      <c r="Q87" s="111">
        <f t="shared" si="34"/>
        <v>5.9999999999999991E-2</v>
      </c>
      <c r="R87" s="111">
        <f t="shared" si="34"/>
        <v>0.06</v>
      </c>
      <c r="S87" s="111">
        <f t="shared" si="34"/>
        <v>0.06</v>
      </c>
      <c r="T87" s="111">
        <f t="shared" si="34"/>
        <v>0.06</v>
      </c>
      <c r="U87" s="111">
        <f t="shared" si="34"/>
        <v>0.06</v>
      </c>
      <c r="V87" s="111">
        <f t="shared" si="34"/>
        <v>0.06</v>
      </c>
      <c r="W87" s="111">
        <f t="shared" si="34"/>
        <v>0.06</v>
      </c>
      <c r="X87" s="111">
        <f t="shared" si="34"/>
        <v>0.06</v>
      </c>
      <c r="Y87" s="111">
        <f t="shared" si="34"/>
        <v>0.06</v>
      </c>
      <c r="Z87" s="111">
        <f t="shared" si="34"/>
        <v>5.9999999999999991E-2</v>
      </c>
      <c r="AA87" s="111">
        <f t="shared" si="34"/>
        <v>6.0000000000000005E-2</v>
      </c>
      <c r="AB87" s="111">
        <f t="shared" si="34"/>
        <v>0.06</v>
      </c>
      <c r="AC87" s="111">
        <f t="shared" si="34"/>
        <v>0.06</v>
      </c>
      <c r="AD87" s="111">
        <f t="shared" si="34"/>
        <v>0.06</v>
      </c>
      <c r="AE87" s="111">
        <f t="shared" si="34"/>
        <v>5.9999999999999991E-2</v>
      </c>
      <c r="AF87" s="111">
        <f t="shared" si="34"/>
        <v>0.06</v>
      </c>
    </row>
    <row r="88" spans="2:32" s="4" customFormat="1" hidden="1" outlineLevel="2" collapsed="1">
      <c r="B88" s="159" t="s">
        <v>8</v>
      </c>
      <c r="C88" s="159"/>
      <c r="D88" s="159"/>
      <c r="E88" s="159"/>
      <c r="F88" s="159"/>
      <c r="G88" s="159"/>
      <c r="H88" s="91"/>
      <c r="I88" s="91"/>
      <c r="J88" s="111">
        <f t="shared" ref="J88:AF88" si="35">+IF(ISERROR(J51/J13),0,J51/J13)</f>
        <v>0</v>
      </c>
      <c r="K88" s="111">
        <f t="shared" si="35"/>
        <v>0.34100824042656325</v>
      </c>
      <c r="L88" s="111">
        <f t="shared" si="35"/>
        <v>0.13698308270676693</v>
      </c>
      <c r="M88" s="111">
        <f t="shared" si="35"/>
        <v>0.04</v>
      </c>
      <c r="N88" s="111">
        <f t="shared" si="35"/>
        <v>0.06</v>
      </c>
      <c r="O88" s="111">
        <f t="shared" si="35"/>
        <v>6.0000000000000005E-2</v>
      </c>
      <c r="P88" s="111">
        <f t="shared" si="35"/>
        <v>0.06</v>
      </c>
      <c r="Q88" s="111">
        <f t="shared" si="35"/>
        <v>5.9999999999999991E-2</v>
      </c>
      <c r="R88" s="111">
        <f t="shared" si="35"/>
        <v>0.06</v>
      </c>
      <c r="S88" s="111">
        <f t="shared" si="35"/>
        <v>5.9999999999999991E-2</v>
      </c>
      <c r="T88" s="111">
        <f t="shared" si="35"/>
        <v>0.06</v>
      </c>
      <c r="U88" s="111">
        <f t="shared" si="35"/>
        <v>6.0000000000000005E-2</v>
      </c>
      <c r="V88" s="111">
        <f t="shared" si="35"/>
        <v>0.06</v>
      </c>
      <c r="W88" s="111">
        <f t="shared" si="35"/>
        <v>5.9999999999999991E-2</v>
      </c>
      <c r="X88" s="111">
        <f t="shared" si="35"/>
        <v>0.06</v>
      </c>
      <c r="Y88" s="111">
        <f t="shared" si="35"/>
        <v>0.06</v>
      </c>
      <c r="Z88" s="111">
        <f t="shared" si="35"/>
        <v>6.0000000000000005E-2</v>
      </c>
      <c r="AA88" s="111">
        <f t="shared" si="35"/>
        <v>0.06</v>
      </c>
      <c r="AB88" s="111">
        <f t="shared" si="35"/>
        <v>0.06</v>
      </c>
      <c r="AC88" s="111">
        <f t="shared" si="35"/>
        <v>0.06</v>
      </c>
      <c r="AD88" s="111">
        <f t="shared" si="35"/>
        <v>0.06</v>
      </c>
      <c r="AE88" s="111">
        <f t="shared" si="35"/>
        <v>0.06</v>
      </c>
      <c r="AF88" s="111">
        <f t="shared" si="35"/>
        <v>0</v>
      </c>
    </row>
    <row r="89" spans="2:32" s="4" customFormat="1" hidden="1" outlineLevel="3">
      <c r="B89" s="160" t="s">
        <v>13</v>
      </c>
      <c r="C89" s="160"/>
      <c r="D89" s="160"/>
      <c r="E89" s="160"/>
      <c r="F89" s="160"/>
      <c r="G89" s="160"/>
      <c r="H89" s="91"/>
      <c r="I89" s="91"/>
      <c r="J89" s="111">
        <f t="shared" ref="J89:AF89" si="36">+IF(ISERROR(J52/J14),0,J52/J14)</f>
        <v>0</v>
      </c>
      <c r="K89" s="111">
        <f t="shared" si="36"/>
        <v>0.34100824042656325</v>
      </c>
      <c r="L89" s="111">
        <f t="shared" si="36"/>
        <v>0.13698308270676693</v>
      </c>
      <c r="M89" s="111">
        <f t="shared" si="36"/>
        <v>0</v>
      </c>
      <c r="N89" s="111">
        <f t="shared" si="36"/>
        <v>0</v>
      </c>
      <c r="O89" s="111">
        <f t="shared" si="36"/>
        <v>0</v>
      </c>
      <c r="P89" s="111">
        <f t="shared" si="36"/>
        <v>0</v>
      </c>
      <c r="Q89" s="111">
        <f t="shared" si="36"/>
        <v>0</v>
      </c>
      <c r="R89" s="111">
        <f t="shared" si="36"/>
        <v>0</v>
      </c>
      <c r="S89" s="111">
        <f t="shared" si="36"/>
        <v>0</v>
      </c>
      <c r="T89" s="111">
        <f t="shared" si="36"/>
        <v>0</v>
      </c>
      <c r="U89" s="111">
        <f t="shared" si="36"/>
        <v>0</v>
      </c>
      <c r="V89" s="111">
        <f t="shared" si="36"/>
        <v>0</v>
      </c>
      <c r="W89" s="111">
        <f t="shared" si="36"/>
        <v>0</v>
      </c>
      <c r="X89" s="111">
        <f t="shared" si="36"/>
        <v>0</v>
      </c>
      <c r="Y89" s="111">
        <f t="shared" si="36"/>
        <v>0</v>
      </c>
      <c r="Z89" s="111">
        <f t="shared" si="36"/>
        <v>0</v>
      </c>
      <c r="AA89" s="111">
        <f t="shared" si="36"/>
        <v>0</v>
      </c>
      <c r="AB89" s="111">
        <f t="shared" si="36"/>
        <v>0</v>
      </c>
      <c r="AC89" s="111">
        <f t="shared" si="36"/>
        <v>0</v>
      </c>
      <c r="AD89" s="111">
        <f t="shared" si="36"/>
        <v>0</v>
      </c>
      <c r="AE89" s="111">
        <f t="shared" si="36"/>
        <v>0</v>
      </c>
      <c r="AF89" s="111">
        <f t="shared" si="36"/>
        <v>0</v>
      </c>
    </row>
    <row r="90" spans="2:32" s="4" customFormat="1" hidden="1" outlineLevel="3">
      <c r="B90" s="160" t="s">
        <v>14</v>
      </c>
      <c r="C90" s="160"/>
      <c r="D90" s="160"/>
      <c r="E90" s="160"/>
      <c r="F90" s="160"/>
      <c r="G90" s="160"/>
      <c r="H90" s="91"/>
      <c r="I90" s="91"/>
      <c r="J90" s="111">
        <f t="shared" ref="J90:AF90" si="37">+IF(ISERROR(J53/J15),0,J53/J15)</f>
        <v>0</v>
      </c>
      <c r="K90" s="111">
        <f t="shared" si="37"/>
        <v>0</v>
      </c>
      <c r="L90" s="111">
        <f t="shared" si="37"/>
        <v>0</v>
      </c>
      <c r="M90" s="111">
        <f t="shared" si="37"/>
        <v>0.04</v>
      </c>
      <c r="N90" s="111">
        <f t="shared" si="37"/>
        <v>0.06</v>
      </c>
      <c r="O90" s="111">
        <f t="shared" si="37"/>
        <v>6.0000000000000005E-2</v>
      </c>
      <c r="P90" s="111">
        <f t="shared" si="37"/>
        <v>0.06</v>
      </c>
      <c r="Q90" s="111">
        <f t="shared" si="37"/>
        <v>5.9999999999999991E-2</v>
      </c>
      <c r="R90" s="111">
        <f t="shared" si="37"/>
        <v>0.06</v>
      </c>
      <c r="S90" s="111">
        <f t="shared" si="37"/>
        <v>5.9999999999999991E-2</v>
      </c>
      <c r="T90" s="111">
        <f t="shared" si="37"/>
        <v>0.06</v>
      </c>
      <c r="U90" s="111">
        <f t="shared" si="37"/>
        <v>6.0000000000000005E-2</v>
      </c>
      <c r="V90" s="111">
        <f t="shared" si="37"/>
        <v>0.06</v>
      </c>
      <c r="W90" s="111">
        <f t="shared" si="37"/>
        <v>5.9999999999999991E-2</v>
      </c>
      <c r="X90" s="111">
        <f t="shared" si="37"/>
        <v>0.06</v>
      </c>
      <c r="Y90" s="111">
        <f t="shared" si="37"/>
        <v>0.06</v>
      </c>
      <c r="Z90" s="111">
        <f t="shared" si="37"/>
        <v>6.0000000000000005E-2</v>
      </c>
      <c r="AA90" s="111">
        <f t="shared" si="37"/>
        <v>0.06</v>
      </c>
      <c r="AB90" s="111">
        <f t="shared" si="37"/>
        <v>0.06</v>
      </c>
      <c r="AC90" s="111">
        <f t="shared" si="37"/>
        <v>0.06</v>
      </c>
      <c r="AD90" s="111">
        <f t="shared" si="37"/>
        <v>0.06</v>
      </c>
      <c r="AE90" s="111">
        <f t="shared" si="37"/>
        <v>0.06</v>
      </c>
      <c r="AF90" s="111">
        <f t="shared" si="37"/>
        <v>0.06</v>
      </c>
    </row>
    <row r="91" spans="2:32" s="4" customFormat="1" hidden="1" outlineLevel="2" collapsed="1">
      <c r="B91" s="159" t="s">
        <v>9</v>
      </c>
      <c r="C91" s="159"/>
      <c r="D91" s="159"/>
      <c r="E91" s="159"/>
      <c r="F91" s="159"/>
      <c r="G91" s="159"/>
      <c r="H91" s="91"/>
      <c r="I91" s="91"/>
      <c r="J91" s="111">
        <f t="shared" ref="J91:AF91" si="38">+IF(ISERROR(J54/J16),0,J54/J16)</f>
        <v>0</v>
      </c>
      <c r="K91" s="111">
        <f t="shared" si="38"/>
        <v>-4.5590881823635271E-2</v>
      </c>
      <c r="L91" s="111">
        <f t="shared" si="38"/>
        <v>-0.05</v>
      </c>
      <c r="M91" s="111">
        <f t="shared" si="38"/>
        <v>-0.51500000000000001</v>
      </c>
      <c r="N91" s="111">
        <f t="shared" si="38"/>
        <v>-0.15</v>
      </c>
      <c r="O91" s="111">
        <f t="shared" si="38"/>
        <v>-0.15</v>
      </c>
      <c r="P91" s="111">
        <f t="shared" si="38"/>
        <v>-0.15</v>
      </c>
      <c r="Q91" s="111">
        <f t="shared" si="38"/>
        <v>0</v>
      </c>
      <c r="R91" s="111">
        <f t="shared" si="38"/>
        <v>0</v>
      </c>
      <c r="S91" s="111">
        <f t="shared" si="38"/>
        <v>0</v>
      </c>
      <c r="T91" s="111">
        <f t="shared" si="38"/>
        <v>0</v>
      </c>
      <c r="U91" s="111">
        <f t="shared" si="38"/>
        <v>0</v>
      </c>
      <c r="V91" s="111">
        <f t="shared" si="38"/>
        <v>0</v>
      </c>
      <c r="W91" s="111">
        <f t="shared" si="38"/>
        <v>0</v>
      </c>
      <c r="X91" s="111">
        <f t="shared" si="38"/>
        <v>0</v>
      </c>
      <c r="Y91" s="111">
        <f t="shared" si="38"/>
        <v>0</v>
      </c>
      <c r="Z91" s="111">
        <f t="shared" si="38"/>
        <v>0</v>
      </c>
      <c r="AA91" s="111">
        <f t="shared" si="38"/>
        <v>0</v>
      </c>
      <c r="AB91" s="111">
        <f t="shared" si="38"/>
        <v>0</v>
      </c>
      <c r="AC91" s="111">
        <f t="shared" si="38"/>
        <v>0</v>
      </c>
      <c r="AD91" s="111">
        <f t="shared" si="38"/>
        <v>0</v>
      </c>
      <c r="AE91" s="111">
        <f t="shared" si="38"/>
        <v>0</v>
      </c>
      <c r="AF91" s="111">
        <f t="shared" si="38"/>
        <v>0</v>
      </c>
    </row>
    <row r="92" spans="2:32" s="4" customFormat="1" hidden="1" outlineLevel="3">
      <c r="B92" s="160" t="s">
        <v>13</v>
      </c>
      <c r="C92" s="160"/>
      <c r="D92" s="160"/>
      <c r="E92" s="160"/>
      <c r="F92" s="160"/>
      <c r="G92" s="160"/>
      <c r="H92" s="91"/>
      <c r="I92" s="91"/>
      <c r="J92" s="111">
        <f t="shared" ref="J92:AF92" si="39">+IF(ISERROR(J55/J17),0,J55/J17)</f>
        <v>0</v>
      </c>
      <c r="K92" s="111">
        <f t="shared" si="39"/>
        <v>-4.5590881823635271E-2</v>
      </c>
      <c r="L92" s="111">
        <f t="shared" si="39"/>
        <v>-0.05</v>
      </c>
      <c r="M92" s="111">
        <f t="shared" si="39"/>
        <v>-0.51500000000000001</v>
      </c>
      <c r="N92" s="111">
        <f t="shared" si="39"/>
        <v>-0.15</v>
      </c>
      <c r="O92" s="111">
        <f t="shared" si="39"/>
        <v>-0.15</v>
      </c>
      <c r="P92" s="111">
        <f t="shared" si="39"/>
        <v>-0.15</v>
      </c>
      <c r="Q92" s="111">
        <f t="shared" si="39"/>
        <v>0</v>
      </c>
      <c r="R92" s="111">
        <f t="shared" si="39"/>
        <v>0</v>
      </c>
      <c r="S92" s="111">
        <f t="shared" si="39"/>
        <v>0</v>
      </c>
      <c r="T92" s="111">
        <f t="shared" si="39"/>
        <v>0</v>
      </c>
      <c r="U92" s="111">
        <f t="shared" si="39"/>
        <v>0</v>
      </c>
      <c r="V92" s="111">
        <f t="shared" si="39"/>
        <v>0</v>
      </c>
      <c r="W92" s="111">
        <f t="shared" si="39"/>
        <v>0</v>
      </c>
      <c r="X92" s="111">
        <f t="shared" si="39"/>
        <v>0</v>
      </c>
      <c r="Y92" s="111">
        <f t="shared" si="39"/>
        <v>0</v>
      </c>
      <c r="Z92" s="111">
        <f t="shared" si="39"/>
        <v>0</v>
      </c>
      <c r="AA92" s="111">
        <f t="shared" si="39"/>
        <v>0</v>
      </c>
      <c r="AB92" s="111">
        <f t="shared" si="39"/>
        <v>0</v>
      </c>
      <c r="AC92" s="111">
        <f t="shared" si="39"/>
        <v>0</v>
      </c>
      <c r="AD92" s="111">
        <f t="shared" si="39"/>
        <v>0</v>
      </c>
      <c r="AE92" s="111">
        <f t="shared" si="39"/>
        <v>0</v>
      </c>
      <c r="AF92" s="111">
        <f t="shared" si="39"/>
        <v>0</v>
      </c>
    </row>
    <row r="93" spans="2:32" s="4" customFormat="1" hidden="1" outlineLevel="3">
      <c r="B93" s="160" t="s">
        <v>14</v>
      </c>
      <c r="C93" s="160"/>
      <c r="D93" s="160"/>
      <c r="E93" s="160"/>
      <c r="F93" s="160"/>
      <c r="G93" s="160"/>
      <c r="H93" s="91"/>
      <c r="I93" s="91"/>
      <c r="J93" s="111">
        <f t="shared" ref="J93:AF93" si="40">+IF(ISERROR(J56/J18),0,J56/J18)</f>
        <v>0</v>
      </c>
      <c r="K93" s="111">
        <f t="shared" si="40"/>
        <v>0</v>
      </c>
      <c r="L93" s="111">
        <f t="shared" si="40"/>
        <v>0</v>
      </c>
      <c r="M93" s="111">
        <f t="shared" si="40"/>
        <v>0</v>
      </c>
      <c r="N93" s="111">
        <f t="shared" si="40"/>
        <v>0</v>
      </c>
      <c r="O93" s="111">
        <f t="shared" si="40"/>
        <v>0</v>
      </c>
      <c r="P93" s="111">
        <f t="shared" si="40"/>
        <v>0</v>
      </c>
      <c r="Q93" s="111">
        <f t="shared" si="40"/>
        <v>0</v>
      </c>
      <c r="R93" s="111">
        <f t="shared" si="40"/>
        <v>0</v>
      </c>
      <c r="S93" s="111">
        <f t="shared" si="40"/>
        <v>0</v>
      </c>
      <c r="T93" s="111">
        <f t="shared" si="40"/>
        <v>0</v>
      </c>
      <c r="U93" s="111">
        <f t="shared" si="40"/>
        <v>0</v>
      </c>
      <c r="V93" s="111">
        <f t="shared" si="40"/>
        <v>0</v>
      </c>
      <c r="W93" s="111">
        <f t="shared" si="40"/>
        <v>0</v>
      </c>
      <c r="X93" s="111">
        <f t="shared" si="40"/>
        <v>0</v>
      </c>
      <c r="Y93" s="111">
        <f t="shared" si="40"/>
        <v>0</v>
      </c>
      <c r="Z93" s="111">
        <f t="shared" si="40"/>
        <v>0</v>
      </c>
      <c r="AA93" s="111">
        <f t="shared" si="40"/>
        <v>0</v>
      </c>
      <c r="AB93" s="111">
        <f t="shared" si="40"/>
        <v>0</v>
      </c>
      <c r="AC93" s="111">
        <f t="shared" si="40"/>
        <v>0</v>
      </c>
      <c r="AD93" s="111">
        <f t="shared" si="40"/>
        <v>0</v>
      </c>
      <c r="AE93" s="111">
        <f t="shared" si="40"/>
        <v>0</v>
      </c>
      <c r="AF93" s="111">
        <f t="shared" si="40"/>
        <v>0</v>
      </c>
    </row>
    <row r="94" spans="2:32" s="4" customFormat="1" hidden="1" outlineLevel="2" collapsed="1">
      <c r="B94" s="159" t="str">
        <f>+B57</f>
        <v>Corporativo</v>
      </c>
      <c r="C94" s="159"/>
      <c r="D94" s="159"/>
      <c r="E94" s="159"/>
      <c r="F94" s="159"/>
      <c r="G94" s="159"/>
      <c r="H94" s="91"/>
      <c r="I94" s="91"/>
      <c r="J94" s="111">
        <f t="shared" ref="J94:AF94" si="41">+IF(ISERROR(J57/J19),0,J57/J19)</f>
        <v>0</v>
      </c>
      <c r="K94" s="111">
        <f t="shared" si="41"/>
        <v>5.7784911717495988E-2</v>
      </c>
      <c r="L94" s="111">
        <f t="shared" si="41"/>
        <v>0</v>
      </c>
      <c r="M94" s="111">
        <f t="shared" si="41"/>
        <v>0</v>
      </c>
      <c r="N94" s="111">
        <f t="shared" si="41"/>
        <v>0</v>
      </c>
      <c r="O94" s="111">
        <f t="shared" si="41"/>
        <v>0</v>
      </c>
      <c r="P94" s="111">
        <f t="shared" si="41"/>
        <v>0</v>
      </c>
      <c r="Q94" s="111">
        <f t="shared" si="41"/>
        <v>0</v>
      </c>
      <c r="R94" s="111">
        <f t="shared" si="41"/>
        <v>0</v>
      </c>
      <c r="S94" s="111">
        <f t="shared" si="41"/>
        <v>0</v>
      </c>
      <c r="T94" s="111">
        <f t="shared" si="41"/>
        <v>0</v>
      </c>
      <c r="U94" s="111">
        <f t="shared" si="41"/>
        <v>0</v>
      </c>
      <c r="V94" s="111">
        <f t="shared" si="41"/>
        <v>0</v>
      </c>
      <c r="W94" s="111">
        <f t="shared" si="41"/>
        <v>0</v>
      </c>
      <c r="X94" s="111">
        <f t="shared" si="41"/>
        <v>0</v>
      </c>
      <c r="Y94" s="111">
        <f t="shared" si="41"/>
        <v>0</v>
      </c>
      <c r="Z94" s="111">
        <f t="shared" si="41"/>
        <v>0</v>
      </c>
      <c r="AA94" s="111">
        <f t="shared" si="41"/>
        <v>0</v>
      </c>
      <c r="AB94" s="111">
        <f t="shared" si="41"/>
        <v>0</v>
      </c>
      <c r="AC94" s="111">
        <f t="shared" si="41"/>
        <v>0</v>
      </c>
      <c r="AD94" s="111">
        <f t="shared" si="41"/>
        <v>0</v>
      </c>
      <c r="AE94" s="111">
        <f t="shared" si="41"/>
        <v>0</v>
      </c>
      <c r="AF94" s="111">
        <f t="shared" si="41"/>
        <v>0</v>
      </c>
    </row>
    <row r="95" spans="2:32" s="4" customFormat="1" hidden="1" outlineLevel="2">
      <c r="B95" s="159" t="str">
        <f>+B58</f>
        <v>Recuperaciones</v>
      </c>
      <c r="C95" s="159"/>
      <c r="D95" s="159"/>
      <c r="E95" s="159"/>
      <c r="F95" s="159"/>
      <c r="G95" s="159"/>
      <c r="H95" s="91"/>
      <c r="I95" s="91"/>
      <c r="J95" s="111">
        <f t="shared" ref="J95:AF95" si="42">+IF(ISERROR(J58/J20),0,J58/J20)</f>
        <v>0</v>
      </c>
      <c r="K95" s="111">
        <f t="shared" si="42"/>
        <v>0.99055232558139539</v>
      </c>
      <c r="L95" s="111">
        <f t="shared" si="42"/>
        <v>0</v>
      </c>
      <c r="M95" s="111">
        <f t="shared" si="42"/>
        <v>0</v>
      </c>
      <c r="N95" s="111">
        <f t="shared" si="42"/>
        <v>0</v>
      </c>
      <c r="O95" s="111">
        <f t="shared" si="42"/>
        <v>0</v>
      </c>
      <c r="P95" s="111">
        <f t="shared" si="42"/>
        <v>0</v>
      </c>
      <c r="Q95" s="111">
        <f t="shared" si="42"/>
        <v>0</v>
      </c>
      <c r="R95" s="111">
        <f t="shared" si="42"/>
        <v>0</v>
      </c>
      <c r="S95" s="111">
        <f t="shared" si="42"/>
        <v>0</v>
      </c>
      <c r="T95" s="111">
        <f t="shared" si="42"/>
        <v>0</v>
      </c>
      <c r="U95" s="111">
        <f t="shared" si="42"/>
        <v>0</v>
      </c>
      <c r="V95" s="111">
        <f t="shared" si="42"/>
        <v>0</v>
      </c>
      <c r="W95" s="111">
        <f t="shared" si="42"/>
        <v>0</v>
      </c>
      <c r="X95" s="111">
        <f t="shared" si="42"/>
        <v>0</v>
      </c>
      <c r="Y95" s="111">
        <f t="shared" si="42"/>
        <v>0</v>
      </c>
      <c r="Z95" s="111">
        <f t="shared" si="42"/>
        <v>0</v>
      </c>
      <c r="AA95" s="111">
        <f t="shared" si="42"/>
        <v>0</v>
      </c>
      <c r="AB95" s="111">
        <f t="shared" si="42"/>
        <v>0</v>
      </c>
      <c r="AC95" s="111">
        <f t="shared" si="42"/>
        <v>0</v>
      </c>
      <c r="AD95" s="111">
        <f t="shared" si="42"/>
        <v>0</v>
      </c>
      <c r="AE95" s="111">
        <f t="shared" si="42"/>
        <v>0</v>
      </c>
      <c r="AF95" s="111">
        <f t="shared" si="42"/>
        <v>0</v>
      </c>
    </row>
    <row r="96" spans="2:32" s="4" customFormat="1" hidden="1" outlineLevel="2">
      <c r="B96" s="159" t="str">
        <f>+B59</f>
        <v>Preconstrucciones - Gerencia pytos</v>
      </c>
      <c r="C96" s="159"/>
      <c r="D96" s="159"/>
      <c r="E96" s="159"/>
      <c r="F96" s="159"/>
      <c r="G96" s="159"/>
      <c r="H96" s="91"/>
      <c r="I96" s="91"/>
      <c r="J96" s="111">
        <f t="shared" ref="J96:AF96" si="43">+IF(ISERROR(J59/J21),0,J59/J21)</f>
        <v>0</v>
      </c>
      <c r="K96" s="111">
        <f t="shared" si="43"/>
        <v>0.75</v>
      </c>
      <c r="L96" s="111">
        <f t="shared" si="43"/>
        <v>0</v>
      </c>
      <c r="M96" s="111">
        <f t="shared" si="43"/>
        <v>0</v>
      </c>
      <c r="N96" s="111">
        <f t="shared" si="43"/>
        <v>0</v>
      </c>
      <c r="O96" s="111">
        <f t="shared" si="43"/>
        <v>0</v>
      </c>
      <c r="P96" s="111">
        <f t="shared" si="43"/>
        <v>0</v>
      </c>
      <c r="Q96" s="111">
        <f t="shared" si="43"/>
        <v>0</v>
      </c>
      <c r="R96" s="111">
        <f t="shared" si="43"/>
        <v>0</v>
      </c>
      <c r="S96" s="111">
        <f t="shared" si="43"/>
        <v>0</v>
      </c>
      <c r="T96" s="111">
        <f t="shared" si="43"/>
        <v>0</v>
      </c>
      <c r="U96" s="111">
        <f t="shared" si="43"/>
        <v>0</v>
      </c>
      <c r="V96" s="111">
        <f t="shared" si="43"/>
        <v>0</v>
      </c>
      <c r="W96" s="111">
        <f t="shared" si="43"/>
        <v>0</v>
      </c>
      <c r="X96" s="111">
        <f t="shared" si="43"/>
        <v>0</v>
      </c>
      <c r="Y96" s="111">
        <f t="shared" si="43"/>
        <v>0</v>
      </c>
      <c r="Z96" s="111">
        <f t="shared" si="43"/>
        <v>0</v>
      </c>
      <c r="AA96" s="111">
        <f t="shared" si="43"/>
        <v>0</v>
      </c>
      <c r="AB96" s="111">
        <f t="shared" si="43"/>
        <v>0</v>
      </c>
      <c r="AC96" s="111">
        <f t="shared" si="43"/>
        <v>0</v>
      </c>
      <c r="AD96" s="111">
        <f t="shared" si="43"/>
        <v>0</v>
      </c>
      <c r="AE96" s="111">
        <f t="shared" si="43"/>
        <v>0</v>
      </c>
      <c r="AF96" s="111">
        <f t="shared" si="43"/>
        <v>0</v>
      </c>
    </row>
    <row r="97" spans="2:32" s="4" customFormat="1" hidden="1" outlineLevel="2">
      <c r="B97" s="157"/>
      <c r="C97" s="157"/>
      <c r="D97" s="157"/>
      <c r="E97" s="157"/>
      <c r="F97" s="157"/>
      <c r="G97" s="157"/>
      <c r="H97" s="91"/>
      <c r="I97" s="91"/>
      <c r="J97" s="111">
        <f>+IF(ISERROR(#REF!/J22),0,#REF!/J22)</f>
        <v>0</v>
      </c>
      <c r="K97" s="111">
        <f>+IF(ISERROR(#REF!/K22),0,#REF!/K22)</f>
        <v>0</v>
      </c>
      <c r="L97" s="111">
        <f>+IF(ISERROR(#REF!/L22),0,#REF!/L22)</f>
        <v>0</v>
      </c>
      <c r="M97" s="111">
        <f>+IF(ISERROR(#REF!/M22),0,#REF!/M22)</f>
        <v>0</v>
      </c>
      <c r="N97" s="111">
        <f>+IF(ISERROR(#REF!/N22),0,#REF!/N22)</f>
        <v>0</v>
      </c>
      <c r="O97" s="111">
        <f>+IF(ISERROR(#REF!/O22),0,#REF!/O22)</f>
        <v>0</v>
      </c>
      <c r="P97" s="111">
        <f>+IF(ISERROR(#REF!/P22),0,#REF!/P22)</f>
        <v>0</v>
      </c>
      <c r="Q97" s="111">
        <f>+IF(ISERROR(#REF!/Q22),0,#REF!/Q22)</f>
        <v>0</v>
      </c>
      <c r="R97" s="111">
        <f>+IF(ISERROR(#REF!/R22),0,#REF!/R22)</f>
        <v>0</v>
      </c>
      <c r="S97" s="111">
        <f>+IF(ISERROR(#REF!/S22),0,#REF!/S22)</f>
        <v>0</v>
      </c>
      <c r="T97" s="111">
        <f>+IF(ISERROR(#REF!/T22),0,#REF!/T22)</f>
        <v>0</v>
      </c>
      <c r="U97" s="111">
        <f>+IF(ISERROR(#REF!/U22),0,#REF!/U22)</f>
        <v>0</v>
      </c>
      <c r="V97" s="111">
        <f>+IF(ISERROR(#REF!/V22),0,#REF!/V22)</f>
        <v>0</v>
      </c>
      <c r="W97" s="111">
        <f>+IF(ISERROR(#REF!/W22),0,#REF!/W22)</f>
        <v>0</v>
      </c>
      <c r="X97" s="111">
        <f>+IF(ISERROR(#REF!/X22),0,#REF!/X22)</f>
        <v>0</v>
      </c>
      <c r="Y97" s="111">
        <f>+IF(ISERROR(#REF!/Y22),0,#REF!/Y22)</f>
        <v>0</v>
      </c>
      <c r="Z97" s="111">
        <f>+IF(ISERROR(#REF!/Z22),0,#REF!/Z22)</f>
        <v>0</v>
      </c>
      <c r="AA97" s="111">
        <f>+IF(ISERROR(#REF!/AA22),0,#REF!/AA22)</f>
        <v>0</v>
      </c>
      <c r="AB97" s="111">
        <f>+IF(ISERROR(#REF!/AB22),0,#REF!/AB22)</f>
        <v>0</v>
      </c>
      <c r="AC97" s="111">
        <f>+IF(ISERROR(#REF!/AC22),0,#REF!/AC22)</f>
        <v>0</v>
      </c>
      <c r="AD97" s="111">
        <f>+IF(ISERROR(#REF!/AD22),0,#REF!/AD22)</f>
        <v>0</v>
      </c>
      <c r="AE97" s="111">
        <f>+IF(ISERROR(#REF!/AE22),0,#REF!/AE22)</f>
        <v>0</v>
      </c>
      <c r="AF97" s="111">
        <f>+IF(ISERROR(#REF!/AF22),0,#REF!/AF22)</f>
        <v>0</v>
      </c>
    </row>
    <row r="98" spans="2:32" s="4" customFormat="1" hidden="1" outlineLevel="2">
      <c r="B98" s="157"/>
      <c r="C98" s="157"/>
      <c r="D98" s="157"/>
      <c r="E98" s="157"/>
      <c r="F98" s="157"/>
      <c r="G98" s="157"/>
      <c r="H98" s="91"/>
      <c r="I98" s="9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</row>
    <row r="99" spans="2:32" outlineLevel="1" collapsed="1">
      <c r="B99" s="158" t="s">
        <v>23</v>
      </c>
      <c r="C99" s="158"/>
      <c r="D99" s="158"/>
      <c r="E99" s="158"/>
      <c r="F99" s="158"/>
      <c r="G99" s="158"/>
      <c r="H99" s="101"/>
      <c r="I99" s="101"/>
      <c r="J99" s="108">
        <f t="shared" ref="J99:AF99" si="44">+IF(ISERROR(J61/J24),0,J61/J24)</f>
        <v>0</v>
      </c>
      <c r="K99" s="108">
        <f t="shared" si="44"/>
        <v>0</v>
      </c>
      <c r="L99" s="108">
        <f t="shared" si="44"/>
        <v>0.10065030898089294</v>
      </c>
      <c r="M99" s="108">
        <f t="shared" si="44"/>
        <v>0.1713404369505388</v>
      </c>
      <c r="N99" s="108">
        <f t="shared" si="44"/>
        <v>0.15422348285609741</v>
      </c>
      <c r="O99" s="108">
        <f t="shared" si="44"/>
        <v>0.13552809542525443</v>
      </c>
      <c r="P99" s="108">
        <f t="shared" si="44"/>
        <v>0.15658249091408089</v>
      </c>
      <c r="Q99" s="108">
        <f t="shared" si="44"/>
        <v>0.15805855035593308</v>
      </c>
      <c r="R99" s="108">
        <f t="shared" si="44"/>
        <v>0.15981555670933556</v>
      </c>
      <c r="S99" s="108">
        <f t="shared" si="44"/>
        <v>0.15993349330107237</v>
      </c>
      <c r="T99" s="108">
        <f t="shared" si="44"/>
        <v>0.16004624153430644</v>
      </c>
      <c r="U99" s="108">
        <f t="shared" si="44"/>
        <v>0.15993565346795655</v>
      </c>
      <c r="V99" s="108">
        <f t="shared" si="44"/>
        <v>0.16004187740928341</v>
      </c>
      <c r="W99" s="108">
        <f t="shared" si="44"/>
        <v>0.16025853415799807</v>
      </c>
      <c r="X99" s="108">
        <f t="shared" si="44"/>
        <v>0.1611052818204434</v>
      </c>
      <c r="Y99" s="108">
        <f t="shared" si="44"/>
        <v>0.16182510790246765</v>
      </c>
      <c r="Z99" s="108">
        <f t="shared" si="44"/>
        <v>0.1610756911025007</v>
      </c>
      <c r="AA99" s="108">
        <f t="shared" si="44"/>
        <v>0.16041484289102065</v>
      </c>
      <c r="AB99" s="108">
        <f t="shared" si="44"/>
        <v>0.16001896461151224</v>
      </c>
      <c r="AC99" s="108">
        <f t="shared" si="44"/>
        <v>0.15936425788398739</v>
      </c>
      <c r="AD99" s="108">
        <f t="shared" si="44"/>
        <v>0.16110528182044342</v>
      </c>
      <c r="AE99" s="108">
        <f t="shared" si="44"/>
        <v>0.16182510790246771</v>
      </c>
      <c r="AF99" s="108">
        <f t="shared" si="44"/>
        <v>0.16107569110250072</v>
      </c>
    </row>
    <row r="100" spans="2:32" hidden="1" outlineLevel="2">
      <c r="B100" s="167" t="s">
        <v>10</v>
      </c>
      <c r="C100" s="167"/>
      <c r="D100" s="167"/>
      <c r="E100" s="167"/>
      <c r="F100" s="167"/>
      <c r="G100" s="167"/>
      <c r="H100" s="7"/>
      <c r="I100" s="7"/>
      <c r="J100" s="112">
        <f t="shared" ref="J100:AF100" si="45">+IF(ISERROR(J62/J25),0,J62/J25)</f>
        <v>0</v>
      </c>
      <c r="K100" s="112">
        <f t="shared" si="45"/>
        <v>0</v>
      </c>
      <c r="L100" s="112">
        <f t="shared" si="45"/>
        <v>0.11715452862204175</v>
      </c>
      <c r="M100" s="112">
        <f t="shared" si="45"/>
        <v>0.18957211395229204</v>
      </c>
      <c r="N100" s="112">
        <f t="shared" si="45"/>
        <v>0.16861566857736099</v>
      </c>
      <c r="O100" s="112">
        <f t="shared" si="45"/>
        <v>0.15768469331969084</v>
      </c>
      <c r="P100" s="112">
        <f t="shared" si="45"/>
        <v>0.20769011002319787</v>
      </c>
      <c r="Q100" s="112">
        <f t="shared" si="45"/>
        <v>0.20860740794725119</v>
      </c>
      <c r="R100" s="112">
        <f t="shared" si="45"/>
        <v>0.20970991925401208</v>
      </c>
      <c r="S100" s="112">
        <f t="shared" si="45"/>
        <v>0.20978434130504156</v>
      </c>
      <c r="T100" s="112">
        <f t="shared" si="45"/>
        <v>0.2098555387273067</v>
      </c>
      <c r="U100" s="112">
        <f t="shared" si="45"/>
        <v>0.20978570493735599</v>
      </c>
      <c r="V100" s="112">
        <f t="shared" si="45"/>
        <v>0.2098527820027743</v>
      </c>
      <c r="W100" s="112">
        <f t="shared" si="45"/>
        <v>0.20998972695275561</v>
      </c>
      <c r="X100" s="112">
        <f t="shared" si="45"/>
        <v>0.21052666005105128</v>
      </c>
      <c r="Y100" s="112">
        <f t="shared" si="45"/>
        <v>0.21098527461798214</v>
      </c>
      <c r="Z100" s="112">
        <f t="shared" si="45"/>
        <v>0.21050784991578322</v>
      </c>
      <c r="AA100" s="112">
        <f t="shared" si="45"/>
        <v>0.210088638017662</v>
      </c>
      <c r="AB100" s="112">
        <f t="shared" si="45"/>
        <v>0.20983830966625225</v>
      </c>
      <c r="AC100" s="112">
        <f t="shared" si="45"/>
        <v>0.20942562112037813</v>
      </c>
      <c r="AD100" s="112">
        <f t="shared" si="45"/>
        <v>0.21052666005105122</v>
      </c>
      <c r="AE100" s="112">
        <f t="shared" si="45"/>
        <v>0.21098527461798219</v>
      </c>
      <c r="AF100" s="112">
        <f t="shared" si="45"/>
        <v>0.21050784991578328</v>
      </c>
    </row>
    <row r="101" spans="2:32" hidden="1" outlineLevel="3">
      <c r="B101" s="168" t="s">
        <v>13</v>
      </c>
      <c r="C101" s="168"/>
      <c r="D101" s="168"/>
      <c r="E101" s="168"/>
      <c r="F101" s="168"/>
      <c r="G101" s="168"/>
      <c r="H101" s="7"/>
      <c r="I101" s="7"/>
      <c r="J101" s="112">
        <f t="shared" ref="J101:AF101" si="46">+IF(ISERROR(J63/J26),0,J63/J26)</f>
        <v>0</v>
      </c>
      <c r="K101" s="112">
        <f t="shared" si="46"/>
        <v>0</v>
      </c>
      <c r="L101" s="112">
        <f t="shared" si="46"/>
        <v>0.11715452862204175</v>
      </c>
      <c r="M101" s="112">
        <f t="shared" si="46"/>
        <v>0.1878402367686865</v>
      </c>
      <c r="N101" s="112">
        <f t="shared" si="46"/>
        <v>0.14643694773749039</v>
      </c>
      <c r="O101" s="112">
        <f t="shared" si="46"/>
        <v>0.12214834998894948</v>
      </c>
      <c r="P101" s="112">
        <f t="shared" si="46"/>
        <v>0.2111406420469141</v>
      </c>
      <c r="Q101" s="112">
        <f t="shared" si="46"/>
        <v>0.21312288421589973</v>
      </c>
      <c r="R101" s="112">
        <f t="shared" si="46"/>
        <v>0.21501716758499465</v>
      </c>
      <c r="S101" s="112">
        <f t="shared" si="46"/>
        <v>0</v>
      </c>
      <c r="T101" s="112">
        <f t="shared" si="46"/>
        <v>0</v>
      </c>
      <c r="U101" s="112">
        <f t="shared" si="46"/>
        <v>0</v>
      </c>
      <c r="V101" s="112">
        <f t="shared" si="46"/>
        <v>0</v>
      </c>
      <c r="W101" s="112">
        <f t="shared" si="46"/>
        <v>0</v>
      </c>
      <c r="X101" s="112">
        <f t="shared" si="46"/>
        <v>0</v>
      </c>
      <c r="Y101" s="112">
        <f t="shared" si="46"/>
        <v>0</v>
      </c>
      <c r="Z101" s="112">
        <f t="shared" si="46"/>
        <v>0</v>
      </c>
      <c r="AA101" s="112">
        <f t="shared" si="46"/>
        <v>0</v>
      </c>
      <c r="AB101" s="112">
        <f t="shared" si="46"/>
        <v>0</v>
      </c>
      <c r="AC101" s="112">
        <f t="shared" si="46"/>
        <v>0</v>
      </c>
      <c r="AD101" s="112">
        <f t="shared" si="46"/>
        <v>0</v>
      </c>
      <c r="AE101" s="112">
        <f t="shared" si="46"/>
        <v>0</v>
      </c>
      <c r="AF101" s="112">
        <f t="shared" si="46"/>
        <v>0</v>
      </c>
    </row>
    <row r="102" spans="2:32" hidden="1" outlineLevel="3">
      <c r="B102" s="168" t="s">
        <v>14</v>
      </c>
      <c r="C102" s="168"/>
      <c r="D102" s="168"/>
      <c r="E102" s="168"/>
      <c r="F102" s="168"/>
      <c r="G102" s="168"/>
      <c r="H102" s="7"/>
      <c r="I102" s="7"/>
      <c r="J102" s="112">
        <f t="shared" ref="J102:AF102" si="47">+IF(ISERROR(J64/J27),0,J64/J27)</f>
        <v>0</v>
      </c>
      <c r="K102" s="112">
        <f t="shared" si="47"/>
        <v>0</v>
      </c>
      <c r="L102" s="112">
        <f t="shared" si="47"/>
        <v>0</v>
      </c>
      <c r="M102" s="112">
        <f t="shared" si="47"/>
        <v>0.20554658654656499</v>
      </c>
      <c r="N102" s="112">
        <f t="shared" si="47"/>
        <v>0.20569311567430074</v>
      </c>
      <c r="O102" s="112">
        <f t="shared" si="47"/>
        <v>0.20639799383865629</v>
      </c>
      <c r="P102" s="112">
        <f t="shared" si="47"/>
        <v>0.20724167136446972</v>
      </c>
      <c r="Q102" s="112">
        <f t="shared" si="47"/>
        <v>0.20823318919166547</v>
      </c>
      <c r="R102" s="112">
        <f t="shared" si="47"/>
        <v>0.20929490587432076</v>
      </c>
      <c r="S102" s="112">
        <f t="shared" si="47"/>
        <v>0.20978434130504156</v>
      </c>
      <c r="T102" s="112">
        <f t="shared" si="47"/>
        <v>0.2098555387273067</v>
      </c>
      <c r="U102" s="112">
        <f t="shared" si="47"/>
        <v>0.20978570493735599</v>
      </c>
      <c r="V102" s="112">
        <f t="shared" si="47"/>
        <v>0.2098527820027743</v>
      </c>
      <c r="W102" s="112">
        <f t="shared" si="47"/>
        <v>0.20998972695275561</v>
      </c>
      <c r="X102" s="112">
        <f t="shared" si="47"/>
        <v>0.21052666005105128</v>
      </c>
      <c r="Y102" s="112">
        <f t="shared" si="47"/>
        <v>0.21098527461798214</v>
      </c>
      <c r="Z102" s="112">
        <f t="shared" si="47"/>
        <v>0.21050784991578322</v>
      </c>
      <c r="AA102" s="112">
        <f t="shared" si="47"/>
        <v>0.210088638017662</v>
      </c>
      <c r="AB102" s="112">
        <f t="shared" si="47"/>
        <v>0.20983830966625225</v>
      </c>
      <c r="AC102" s="112">
        <f t="shared" si="47"/>
        <v>0.20942562112037813</v>
      </c>
      <c r="AD102" s="112">
        <f t="shared" si="47"/>
        <v>0.21052666005105122</v>
      </c>
      <c r="AE102" s="112">
        <f t="shared" si="47"/>
        <v>0.21098527461798219</v>
      </c>
      <c r="AF102" s="112">
        <f t="shared" si="47"/>
        <v>0.21050784991578328</v>
      </c>
    </row>
    <row r="103" spans="2:32" hidden="1" outlineLevel="2" collapsed="1">
      <c r="B103" s="167" t="s">
        <v>7</v>
      </c>
      <c r="C103" s="167"/>
      <c r="D103" s="167"/>
      <c r="E103" s="167"/>
      <c r="F103" s="167"/>
      <c r="G103" s="167"/>
      <c r="H103" s="7"/>
      <c r="I103" s="7"/>
      <c r="J103" s="112">
        <f t="shared" ref="J103:AF103" si="48">+IF(ISERROR(J65/J28),0,J65/J28)</f>
        <v>0</v>
      </c>
      <c r="K103" s="112">
        <f t="shared" si="48"/>
        <v>0</v>
      </c>
      <c r="L103" s="112">
        <f t="shared" si="48"/>
        <v>1</v>
      </c>
      <c r="M103" s="112">
        <f t="shared" si="48"/>
        <v>1</v>
      </c>
      <c r="N103" s="112">
        <f t="shared" si="48"/>
        <v>1</v>
      </c>
      <c r="O103" s="112">
        <f t="shared" si="48"/>
        <v>1</v>
      </c>
      <c r="P103" s="112">
        <f t="shared" si="48"/>
        <v>1</v>
      </c>
      <c r="Q103" s="112">
        <f t="shared" si="48"/>
        <v>1</v>
      </c>
      <c r="R103" s="112">
        <f t="shared" si="48"/>
        <v>1</v>
      </c>
      <c r="S103" s="112">
        <f t="shared" si="48"/>
        <v>1</v>
      </c>
      <c r="T103" s="112">
        <f t="shared" si="48"/>
        <v>1</v>
      </c>
      <c r="U103" s="112">
        <f t="shared" si="48"/>
        <v>1</v>
      </c>
      <c r="V103" s="112">
        <f t="shared" si="48"/>
        <v>1</v>
      </c>
      <c r="W103" s="112">
        <f t="shared" si="48"/>
        <v>1</v>
      </c>
      <c r="X103" s="112">
        <f t="shared" si="48"/>
        <v>1</v>
      </c>
      <c r="Y103" s="112">
        <f t="shared" si="48"/>
        <v>1</v>
      </c>
      <c r="Z103" s="112">
        <f t="shared" si="48"/>
        <v>1</v>
      </c>
      <c r="AA103" s="112">
        <f t="shared" si="48"/>
        <v>1</v>
      </c>
      <c r="AB103" s="112">
        <f t="shared" si="48"/>
        <v>1</v>
      </c>
      <c r="AC103" s="112">
        <f t="shared" si="48"/>
        <v>1</v>
      </c>
      <c r="AD103" s="112">
        <f t="shared" si="48"/>
        <v>1</v>
      </c>
      <c r="AE103" s="112">
        <f t="shared" si="48"/>
        <v>1</v>
      </c>
      <c r="AF103" s="112">
        <f t="shared" si="48"/>
        <v>1</v>
      </c>
    </row>
    <row r="104" spans="2:32" hidden="1" outlineLevel="3">
      <c r="B104" s="168" t="s">
        <v>13</v>
      </c>
      <c r="C104" s="168"/>
      <c r="D104" s="168"/>
      <c r="E104" s="168"/>
      <c r="F104" s="168"/>
      <c r="G104" s="168"/>
      <c r="H104" s="7"/>
      <c r="I104" s="7"/>
      <c r="J104" s="112">
        <f t="shared" ref="J104:AF104" si="49">+IF(ISERROR(J66/J29),0,J66/J29)</f>
        <v>0</v>
      </c>
      <c r="K104" s="112">
        <f t="shared" si="49"/>
        <v>0</v>
      </c>
      <c r="L104" s="112">
        <f t="shared" si="49"/>
        <v>1</v>
      </c>
      <c r="M104" s="112">
        <f t="shared" si="49"/>
        <v>1</v>
      </c>
      <c r="N104" s="112">
        <f t="shared" si="49"/>
        <v>1</v>
      </c>
      <c r="O104" s="112">
        <f t="shared" si="49"/>
        <v>1</v>
      </c>
      <c r="P104" s="112">
        <f t="shared" si="49"/>
        <v>1</v>
      </c>
      <c r="Q104" s="112">
        <f t="shared" si="49"/>
        <v>1</v>
      </c>
      <c r="R104" s="112">
        <f t="shared" si="49"/>
        <v>1</v>
      </c>
      <c r="S104" s="112">
        <f t="shared" si="49"/>
        <v>0</v>
      </c>
      <c r="T104" s="112">
        <f t="shared" si="49"/>
        <v>0</v>
      </c>
      <c r="U104" s="112">
        <f t="shared" si="49"/>
        <v>0</v>
      </c>
      <c r="V104" s="112">
        <f t="shared" si="49"/>
        <v>0</v>
      </c>
      <c r="W104" s="112">
        <f t="shared" si="49"/>
        <v>0</v>
      </c>
      <c r="X104" s="112">
        <f t="shared" si="49"/>
        <v>0</v>
      </c>
      <c r="Y104" s="112">
        <f t="shared" si="49"/>
        <v>0</v>
      </c>
      <c r="Z104" s="112">
        <f t="shared" si="49"/>
        <v>0</v>
      </c>
      <c r="AA104" s="112">
        <f t="shared" si="49"/>
        <v>0</v>
      </c>
      <c r="AB104" s="112">
        <f t="shared" si="49"/>
        <v>0</v>
      </c>
      <c r="AC104" s="112">
        <f t="shared" si="49"/>
        <v>0</v>
      </c>
      <c r="AD104" s="112">
        <f t="shared" si="49"/>
        <v>0</v>
      </c>
      <c r="AE104" s="112">
        <f t="shared" si="49"/>
        <v>0</v>
      </c>
      <c r="AF104" s="112">
        <f t="shared" si="49"/>
        <v>0</v>
      </c>
    </row>
    <row r="105" spans="2:32" hidden="1" outlineLevel="3">
      <c r="B105" s="168" t="s">
        <v>14</v>
      </c>
      <c r="C105" s="168"/>
      <c r="D105" s="168"/>
      <c r="E105" s="168"/>
      <c r="F105" s="168"/>
      <c r="G105" s="168"/>
      <c r="H105" s="7"/>
      <c r="I105" s="7"/>
      <c r="J105" s="112">
        <f t="shared" ref="J105:AF105" si="50">+IF(ISERROR(J67/J30),0,J67/J30)</f>
        <v>0</v>
      </c>
      <c r="K105" s="112">
        <f t="shared" si="50"/>
        <v>0</v>
      </c>
      <c r="L105" s="112">
        <f t="shared" si="50"/>
        <v>0</v>
      </c>
      <c r="M105" s="112">
        <f t="shared" si="50"/>
        <v>1</v>
      </c>
      <c r="N105" s="112">
        <f t="shared" si="50"/>
        <v>1</v>
      </c>
      <c r="O105" s="112">
        <f t="shared" si="50"/>
        <v>1</v>
      </c>
      <c r="P105" s="112">
        <f t="shared" si="50"/>
        <v>1</v>
      </c>
      <c r="Q105" s="112">
        <f t="shared" si="50"/>
        <v>1</v>
      </c>
      <c r="R105" s="112">
        <f t="shared" si="50"/>
        <v>1</v>
      </c>
      <c r="S105" s="112">
        <f t="shared" si="50"/>
        <v>1</v>
      </c>
      <c r="T105" s="112">
        <f t="shared" si="50"/>
        <v>1</v>
      </c>
      <c r="U105" s="112">
        <f t="shared" si="50"/>
        <v>1</v>
      </c>
      <c r="V105" s="112">
        <f t="shared" si="50"/>
        <v>1</v>
      </c>
      <c r="W105" s="112">
        <f t="shared" si="50"/>
        <v>1</v>
      </c>
      <c r="X105" s="112">
        <f t="shared" si="50"/>
        <v>1</v>
      </c>
      <c r="Y105" s="112">
        <f t="shared" si="50"/>
        <v>1</v>
      </c>
      <c r="Z105" s="112">
        <f t="shared" si="50"/>
        <v>1</v>
      </c>
      <c r="AA105" s="112">
        <f t="shared" si="50"/>
        <v>1</v>
      </c>
      <c r="AB105" s="112">
        <f t="shared" si="50"/>
        <v>1</v>
      </c>
      <c r="AC105" s="112">
        <f t="shared" si="50"/>
        <v>1</v>
      </c>
      <c r="AD105" s="112">
        <f t="shared" si="50"/>
        <v>1</v>
      </c>
      <c r="AE105" s="112">
        <f t="shared" si="50"/>
        <v>1</v>
      </c>
      <c r="AF105" s="112">
        <f t="shared" si="50"/>
        <v>1</v>
      </c>
    </row>
    <row r="106" spans="2:32" hidden="1" outlineLevel="2" collapsed="1">
      <c r="B106" s="167" t="s">
        <v>11</v>
      </c>
      <c r="C106" s="167"/>
      <c r="D106" s="167"/>
      <c r="E106" s="167"/>
      <c r="F106" s="167"/>
      <c r="G106" s="167"/>
      <c r="H106" s="7"/>
      <c r="I106" s="7"/>
      <c r="J106" s="112">
        <f t="shared" ref="J106:AF106" si="51">+IF(ISERROR(J68/J31),0,J68/J31)</f>
        <v>0</v>
      </c>
      <c r="K106" s="112">
        <f t="shared" si="51"/>
        <v>0</v>
      </c>
      <c r="L106" s="112">
        <f t="shared" si="51"/>
        <v>0</v>
      </c>
      <c r="M106" s="112">
        <f t="shared" si="51"/>
        <v>1</v>
      </c>
      <c r="N106" s="112">
        <f t="shared" si="51"/>
        <v>1</v>
      </c>
      <c r="O106" s="112">
        <f t="shared" si="51"/>
        <v>1</v>
      </c>
      <c r="P106" s="112">
        <f t="shared" si="51"/>
        <v>1</v>
      </c>
      <c r="Q106" s="112">
        <f t="shared" si="51"/>
        <v>1</v>
      </c>
      <c r="R106" s="112">
        <f t="shared" si="51"/>
        <v>1</v>
      </c>
      <c r="S106" s="112">
        <f t="shared" si="51"/>
        <v>1</v>
      </c>
      <c r="T106" s="112">
        <f t="shared" si="51"/>
        <v>1</v>
      </c>
      <c r="U106" s="112">
        <f t="shared" si="51"/>
        <v>1</v>
      </c>
      <c r="V106" s="112">
        <f t="shared" si="51"/>
        <v>1</v>
      </c>
      <c r="W106" s="112">
        <f t="shared" si="51"/>
        <v>1</v>
      </c>
      <c r="X106" s="112">
        <f t="shared" si="51"/>
        <v>1</v>
      </c>
      <c r="Y106" s="112">
        <f t="shared" si="51"/>
        <v>1</v>
      </c>
      <c r="Z106" s="112">
        <f t="shared" si="51"/>
        <v>1</v>
      </c>
      <c r="AA106" s="112">
        <f t="shared" si="51"/>
        <v>1</v>
      </c>
      <c r="AB106" s="112">
        <f t="shared" si="51"/>
        <v>1</v>
      </c>
      <c r="AC106" s="112">
        <f t="shared" si="51"/>
        <v>1</v>
      </c>
      <c r="AD106" s="112">
        <f t="shared" si="51"/>
        <v>1</v>
      </c>
      <c r="AE106" s="112">
        <f t="shared" si="51"/>
        <v>1</v>
      </c>
      <c r="AF106" s="112">
        <f t="shared" si="51"/>
        <v>1</v>
      </c>
    </row>
    <row r="107" spans="2:32" hidden="1" outlineLevel="3">
      <c r="B107" s="168" t="s">
        <v>13</v>
      </c>
      <c r="C107" s="168"/>
      <c r="D107" s="168"/>
      <c r="E107" s="168"/>
      <c r="F107" s="168"/>
      <c r="G107" s="168"/>
      <c r="H107" s="7"/>
      <c r="I107" s="7"/>
      <c r="J107" s="112">
        <f t="shared" ref="J107:AF107" si="52">+IF(ISERROR(J69/J32),0,J69/J32)</f>
        <v>0</v>
      </c>
      <c r="K107" s="112">
        <f t="shared" si="52"/>
        <v>0</v>
      </c>
      <c r="L107" s="112">
        <f t="shared" si="52"/>
        <v>0</v>
      </c>
      <c r="M107" s="112">
        <f t="shared" si="52"/>
        <v>1</v>
      </c>
      <c r="N107" s="112">
        <f t="shared" si="52"/>
        <v>1</v>
      </c>
      <c r="O107" s="112">
        <f t="shared" si="52"/>
        <v>1</v>
      </c>
      <c r="P107" s="112">
        <f t="shared" si="52"/>
        <v>1</v>
      </c>
      <c r="Q107" s="112">
        <f t="shared" si="52"/>
        <v>1</v>
      </c>
      <c r="R107" s="112">
        <f t="shared" si="52"/>
        <v>1</v>
      </c>
      <c r="S107" s="112">
        <f t="shared" si="52"/>
        <v>0</v>
      </c>
      <c r="T107" s="112">
        <f t="shared" si="52"/>
        <v>0</v>
      </c>
      <c r="U107" s="112">
        <f t="shared" si="52"/>
        <v>0</v>
      </c>
      <c r="V107" s="112">
        <f t="shared" si="52"/>
        <v>0</v>
      </c>
      <c r="W107" s="112">
        <f t="shared" si="52"/>
        <v>0</v>
      </c>
      <c r="X107" s="112">
        <f t="shared" si="52"/>
        <v>0</v>
      </c>
      <c r="Y107" s="112">
        <f t="shared" si="52"/>
        <v>0</v>
      </c>
      <c r="Z107" s="112">
        <f t="shared" si="52"/>
        <v>0</v>
      </c>
      <c r="AA107" s="112">
        <f t="shared" si="52"/>
        <v>0</v>
      </c>
      <c r="AB107" s="112">
        <f t="shared" si="52"/>
        <v>0</v>
      </c>
      <c r="AC107" s="112">
        <f t="shared" si="52"/>
        <v>0</v>
      </c>
      <c r="AD107" s="112">
        <f t="shared" si="52"/>
        <v>0</v>
      </c>
      <c r="AE107" s="112">
        <f t="shared" si="52"/>
        <v>0</v>
      </c>
      <c r="AF107" s="112">
        <f t="shared" si="52"/>
        <v>0</v>
      </c>
    </row>
    <row r="108" spans="2:32" hidden="1" outlineLevel="3">
      <c r="B108" s="168" t="s">
        <v>14</v>
      </c>
      <c r="C108" s="168"/>
      <c r="D108" s="168"/>
      <c r="E108" s="168"/>
      <c r="F108" s="168"/>
      <c r="G108" s="168"/>
      <c r="H108" s="7"/>
      <c r="I108" s="7"/>
      <c r="J108" s="112">
        <f t="shared" ref="J108:AF108" si="53">+IF(ISERROR(J70/J33),0,J70/J33)</f>
        <v>0</v>
      </c>
      <c r="K108" s="112">
        <f t="shared" si="53"/>
        <v>0</v>
      </c>
      <c r="L108" s="112">
        <f t="shared" si="53"/>
        <v>0</v>
      </c>
      <c r="M108" s="112">
        <f t="shared" si="53"/>
        <v>1</v>
      </c>
      <c r="N108" s="112">
        <f t="shared" si="53"/>
        <v>1</v>
      </c>
      <c r="O108" s="112">
        <f t="shared" si="53"/>
        <v>1</v>
      </c>
      <c r="P108" s="112">
        <f t="shared" si="53"/>
        <v>1</v>
      </c>
      <c r="Q108" s="112">
        <f t="shared" si="53"/>
        <v>1</v>
      </c>
      <c r="R108" s="112">
        <f t="shared" si="53"/>
        <v>1</v>
      </c>
      <c r="S108" s="112">
        <f t="shared" si="53"/>
        <v>1</v>
      </c>
      <c r="T108" s="112">
        <f t="shared" si="53"/>
        <v>1</v>
      </c>
      <c r="U108" s="112">
        <f t="shared" si="53"/>
        <v>1</v>
      </c>
      <c r="V108" s="112">
        <f t="shared" si="53"/>
        <v>1</v>
      </c>
      <c r="W108" s="112">
        <f t="shared" si="53"/>
        <v>1</v>
      </c>
      <c r="X108" s="112">
        <f t="shared" si="53"/>
        <v>1</v>
      </c>
      <c r="Y108" s="112">
        <f t="shared" si="53"/>
        <v>1</v>
      </c>
      <c r="Z108" s="112">
        <f t="shared" si="53"/>
        <v>1</v>
      </c>
      <c r="AA108" s="112">
        <f t="shared" si="53"/>
        <v>1</v>
      </c>
      <c r="AB108" s="112">
        <f t="shared" si="53"/>
        <v>1</v>
      </c>
      <c r="AC108" s="112">
        <f t="shared" si="53"/>
        <v>1</v>
      </c>
      <c r="AD108" s="112">
        <f t="shared" si="53"/>
        <v>1</v>
      </c>
      <c r="AE108" s="112">
        <f t="shared" si="53"/>
        <v>1</v>
      </c>
      <c r="AF108" s="112">
        <f t="shared" si="53"/>
        <v>1</v>
      </c>
    </row>
    <row r="109" spans="2:32" hidden="1" outlineLevel="2" collapsed="1">
      <c r="B109" s="167" t="s">
        <v>6</v>
      </c>
      <c r="C109" s="167"/>
      <c r="D109" s="167"/>
      <c r="E109" s="167"/>
      <c r="F109" s="167"/>
      <c r="G109" s="167"/>
      <c r="H109" s="7"/>
      <c r="I109" s="7"/>
      <c r="J109" s="112">
        <f t="shared" ref="J109:AF109" si="54">+IF(ISERROR(J71/J34),0,J71/J34)</f>
        <v>0</v>
      </c>
      <c r="K109" s="112">
        <f t="shared" si="54"/>
        <v>0</v>
      </c>
      <c r="L109" s="112">
        <f t="shared" si="54"/>
        <v>3.0432832822865973E-2</v>
      </c>
      <c r="M109" s="112">
        <f t="shared" si="54"/>
        <v>6.5536980297240227E-2</v>
      </c>
      <c r="N109" s="112">
        <f t="shared" si="54"/>
        <v>5.6025947741378507E-2</v>
      </c>
      <c r="O109" s="112">
        <f t="shared" si="54"/>
        <v>5.9899597579457786E-2</v>
      </c>
      <c r="P109" s="112">
        <f t="shared" si="54"/>
        <v>6.5420560747663517E-2</v>
      </c>
      <c r="Q109" s="112">
        <f t="shared" si="54"/>
        <v>6.5420560747663489E-2</v>
      </c>
      <c r="R109" s="112">
        <f t="shared" si="54"/>
        <v>6.5420560747663531E-2</v>
      </c>
      <c r="S109" s="112">
        <f t="shared" si="54"/>
        <v>6.5420560747663531E-2</v>
      </c>
      <c r="T109" s="112">
        <f t="shared" si="54"/>
        <v>6.5420560747663531E-2</v>
      </c>
      <c r="U109" s="112">
        <f t="shared" si="54"/>
        <v>6.5420560747663531E-2</v>
      </c>
      <c r="V109" s="112">
        <f t="shared" si="54"/>
        <v>6.5420560747663531E-2</v>
      </c>
      <c r="W109" s="112">
        <f t="shared" si="54"/>
        <v>6.5420560747663531E-2</v>
      </c>
      <c r="X109" s="112">
        <f t="shared" si="54"/>
        <v>6.5420560747663531E-2</v>
      </c>
      <c r="Y109" s="112">
        <f t="shared" si="54"/>
        <v>6.5420560747663531E-2</v>
      </c>
      <c r="Z109" s="112">
        <f t="shared" si="54"/>
        <v>6.5420560747663531E-2</v>
      </c>
      <c r="AA109" s="112">
        <f t="shared" si="54"/>
        <v>6.5420560747663517E-2</v>
      </c>
      <c r="AB109" s="112">
        <f t="shared" si="54"/>
        <v>6.5420560747663559E-2</v>
      </c>
      <c r="AC109" s="112">
        <f t="shared" si="54"/>
        <v>6.5420560747663503E-2</v>
      </c>
      <c r="AD109" s="112">
        <f t="shared" si="54"/>
        <v>6.5420560747663545E-2</v>
      </c>
      <c r="AE109" s="112">
        <f t="shared" si="54"/>
        <v>6.5420560747663545E-2</v>
      </c>
      <c r="AF109" s="112">
        <f t="shared" si="54"/>
        <v>6.5420560747663531E-2</v>
      </c>
    </row>
    <row r="110" spans="2:32" hidden="1" outlineLevel="3">
      <c r="B110" s="168" t="s">
        <v>13</v>
      </c>
      <c r="C110" s="168"/>
      <c r="D110" s="168"/>
      <c r="E110" s="168"/>
      <c r="F110" s="168"/>
      <c r="G110" s="168"/>
      <c r="H110" s="7"/>
      <c r="I110" s="7"/>
      <c r="J110" s="112">
        <f t="shared" ref="J110:AF110" si="55">+IF(ISERROR(J72/J35),0,J72/J35)</f>
        <v>0</v>
      </c>
      <c r="K110" s="112">
        <f t="shared" si="55"/>
        <v>0</v>
      </c>
      <c r="L110" s="112">
        <f t="shared" si="55"/>
        <v>3.0432832822865973E-2</v>
      </c>
      <c r="M110" s="112">
        <f t="shared" si="55"/>
        <v>6.5550493133569032E-2</v>
      </c>
      <c r="N110" s="112">
        <f t="shared" si="55"/>
        <v>5.0720985327543447E-2</v>
      </c>
      <c r="O110" s="112">
        <f t="shared" si="55"/>
        <v>5.5323528798489653E-2</v>
      </c>
      <c r="P110" s="112">
        <f t="shared" si="55"/>
        <v>6.5420560747663531E-2</v>
      </c>
      <c r="Q110" s="112">
        <f t="shared" si="55"/>
        <v>6.5420560747663364E-2</v>
      </c>
      <c r="R110" s="112">
        <f t="shared" si="55"/>
        <v>6.5420560747663711E-2</v>
      </c>
      <c r="S110" s="112">
        <f t="shared" si="55"/>
        <v>0</v>
      </c>
      <c r="T110" s="112">
        <f t="shared" si="55"/>
        <v>0</v>
      </c>
      <c r="U110" s="112">
        <f t="shared" si="55"/>
        <v>0</v>
      </c>
      <c r="V110" s="112">
        <f t="shared" si="55"/>
        <v>0</v>
      </c>
      <c r="W110" s="112">
        <f t="shared" si="55"/>
        <v>0</v>
      </c>
      <c r="X110" s="112">
        <f t="shared" si="55"/>
        <v>0</v>
      </c>
      <c r="Y110" s="112">
        <f t="shared" si="55"/>
        <v>0</v>
      </c>
      <c r="Z110" s="112">
        <f t="shared" si="55"/>
        <v>0</v>
      </c>
      <c r="AA110" s="112">
        <f t="shared" si="55"/>
        <v>0</v>
      </c>
      <c r="AB110" s="112">
        <f t="shared" si="55"/>
        <v>0</v>
      </c>
      <c r="AC110" s="112">
        <f t="shared" si="55"/>
        <v>0</v>
      </c>
      <c r="AD110" s="112">
        <f t="shared" si="55"/>
        <v>0</v>
      </c>
      <c r="AE110" s="112">
        <f t="shared" si="55"/>
        <v>0</v>
      </c>
      <c r="AF110" s="112">
        <f t="shared" si="55"/>
        <v>0</v>
      </c>
    </row>
    <row r="111" spans="2:32" hidden="1" outlineLevel="3">
      <c r="B111" s="168" t="s">
        <v>14</v>
      </c>
      <c r="C111" s="168"/>
      <c r="D111" s="168"/>
      <c r="E111" s="168"/>
      <c r="F111" s="168"/>
      <c r="G111" s="168"/>
      <c r="H111" s="7"/>
      <c r="I111" s="7"/>
      <c r="J111" s="112">
        <f t="shared" ref="J111:AF111" si="56">+IF(ISERROR(J73/J36),0,J73/J36)</f>
        <v>0</v>
      </c>
      <c r="K111" s="112">
        <f t="shared" si="56"/>
        <v>0</v>
      </c>
      <c r="L111" s="112">
        <f t="shared" si="56"/>
        <v>0</v>
      </c>
      <c r="M111" s="112">
        <f t="shared" si="56"/>
        <v>6.5420560747663545E-2</v>
      </c>
      <c r="N111" s="112">
        <f t="shared" si="56"/>
        <v>6.5420560747663517E-2</v>
      </c>
      <c r="O111" s="112">
        <f t="shared" si="56"/>
        <v>6.5420560747663517E-2</v>
      </c>
      <c r="P111" s="112">
        <f t="shared" si="56"/>
        <v>6.5420560747663517E-2</v>
      </c>
      <c r="Q111" s="112">
        <f t="shared" si="56"/>
        <v>6.5420560747663503E-2</v>
      </c>
      <c r="R111" s="112">
        <f t="shared" si="56"/>
        <v>6.5420560747663517E-2</v>
      </c>
      <c r="S111" s="112">
        <f t="shared" si="56"/>
        <v>6.5420560747663531E-2</v>
      </c>
      <c r="T111" s="112">
        <f t="shared" si="56"/>
        <v>6.5420560747663531E-2</v>
      </c>
      <c r="U111" s="112">
        <f t="shared" si="56"/>
        <v>6.5420560747663531E-2</v>
      </c>
      <c r="V111" s="112">
        <f t="shared" si="56"/>
        <v>6.5420560747663531E-2</v>
      </c>
      <c r="W111" s="112">
        <f t="shared" si="56"/>
        <v>6.5420560747663531E-2</v>
      </c>
      <c r="X111" s="112">
        <f t="shared" si="56"/>
        <v>6.5420560747663531E-2</v>
      </c>
      <c r="Y111" s="112">
        <f t="shared" si="56"/>
        <v>6.5420560747663531E-2</v>
      </c>
      <c r="Z111" s="112">
        <f t="shared" si="56"/>
        <v>6.5420560747663531E-2</v>
      </c>
      <c r="AA111" s="112">
        <f t="shared" si="56"/>
        <v>6.5420560747663517E-2</v>
      </c>
      <c r="AB111" s="112">
        <f t="shared" si="56"/>
        <v>6.5420560747663559E-2</v>
      </c>
      <c r="AC111" s="112">
        <f t="shared" si="56"/>
        <v>6.5420560747663503E-2</v>
      </c>
      <c r="AD111" s="112">
        <f t="shared" si="56"/>
        <v>6.5420560747663545E-2</v>
      </c>
      <c r="AE111" s="112">
        <f t="shared" si="56"/>
        <v>6.5420560747663545E-2</v>
      </c>
      <c r="AF111" s="112">
        <f t="shared" si="56"/>
        <v>6.5420560747663531E-2</v>
      </c>
    </row>
    <row r="112" spans="2:32" hidden="1" outlineLevel="2" collapsed="1">
      <c r="B112" s="167" t="s">
        <v>12</v>
      </c>
      <c r="C112" s="167"/>
      <c r="D112" s="167"/>
      <c r="E112" s="167"/>
      <c r="F112" s="167"/>
      <c r="G112" s="167"/>
      <c r="H112" s="7"/>
      <c r="I112" s="7"/>
      <c r="J112" s="112">
        <f t="shared" ref="J112:AF112" si="57">+IF(ISERROR(J74/J37),0,J74/J37)</f>
        <v>0</v>
      </c>
      <c r="K112" s="112">
        <f t="shared" si="57"/>
        <v>0</v>
      </c>
      <c r="L112" s="112">
        <f t="shared" si="57"/>
        <v>1</v>
      </c>
      <c r="M112" s="112">
        <f t="shared" si="57"/>
        <v>1</v>
      </c>
      <c r="N112" s="112">
        <f t="shared" si="57"/>
        <v>1</v>
      </c>
      <c r="O112" s="112">
        <f t="shared" si="57"/>
        <v>1</v>
      </c>
      <c r="P112" s="112">
        <f t="shared" si="57"/>
        <v>1</v>
      </c>
      <c r="Q112" s="112">
        <f t="shared" si="57"/>
        <v>1</v>
      </c>
      <c r="R112" s="112">
        <f t="shared" si="57"/>
        <v>1</v>
      </c>
      <c r="S112" s="112">
        <f t="shared" si="57"/>
        <v>1</v>
      </c>
      <c r="T112" s="112">
        <f t="shared" si="57"/>
        <v>1</v>
      </c>
      <c r="U112" s="112">
        <f t="shared" si="57"/>
        <v>1</v>
      </c>
      <c r="V112" s="112">
        <f t="shared" si="57"/>
        <v>1</v>
      </c>
      <c r="W112" s="112">
        <f t="shared" si="57"/>
        <v>1</v>
      </c>
      <c r="X112" s="112">
        <f t="shared" si="57"/>
        <v>1</v>
      </c>
      <c r="Y112" s="112">
        <f t="shared" si="57"/>
        <v>1</v>
      </c>
      <c r="Z112" s="112">
        <f t="shared" si="57"/>
        <v>1</v>
      </c>
      <c r="AA112" s="112">
        <f t="shared" si="57"/>
        <v>1</v>
      </c>
      <c r="AB112" s="112">
        <f t="shared" si="57"/>
        <v>1</v>
      </c>
      <c r="AC112" s="112">
        <f t="shared" si="57"/>
        <v>1</v>
      </c>
      <c r="AD112" s="112">
        <f t="shared" si="57"/>
        <v>1</v>
      </c>
      <c r="AE112" s="112">
        <f t="shared" si="57"/>
        <v>1</v>
      </c>
      <c r="AF112" s="112">
        <f t="shared" si="57"/>
        <v>1</v>
      </c>
    </row>
    <row r="113" spans="2:32" hidden="1" outlineLevel="3">
      <c r="B113" s="168" t="s">
        <v>13</v>
      </c>
      <c r="C113" s="168"/>
      <c r="D113" s="168"/>
      <c r="E113" s="168"/>
      <c r="F113" s="168"/>
      <c r="G113" s="168"/>
      <c r="H113" s="7"/>
      <c r="I113" s="7"/>
      <c r="J113" s="112">
        <f t="shared" ref="J113:AF113" si="58">+IF(ISERROR(J75/J38),0,J75/J38)</f>
        <v>0</v>
      </c>
      <c r="K113" s="112">
        <f t="shared" si="58"/>
        <v>0</v>
      </c>
      <c r="L113" s="112">
        <f t="shared" si="58"/>
        <v>1</v>
      </c>
      <c r="M113" s="112">
        <f t="shared" si="58"/>
        <v>1</v>
      </c>
      <c r="N113" s="112">
        <f t="shared" si="58"/>
        <v>1</v>
      </c>
      <c r="O113" s="112">
        <f t="shared" si="58"/>
        <v>1</v>
      </c>
      <c r="P113" s="112">
        <f t="shared" si="58"/>
        <v>1</v>
      </c>
      <c r="Q113" s="112">
        <f t="shared" si="58"/>
        <v>1</v>
      </c>
      <c r="R113" s="112">
        <f t="shared" si="58"/>
        <v>1</v>
      </c>
      <c r="S113" s="112">
        <f t="shared" si="58"/>
        <v>0</v>
      </c>
      <c r="T113" s="112">
        <f t="shared" si="58"/>
        <v>0</v>
      </c>
      <c r="U113" s="112">
        <f t="shared" si="58"/>
        <v>0</v>
      </c>
      <c r="V113" s="112">
        <f t="shared" si="58"/>
        <v>0</v>
      </c>
      <c r="W113" s="112">
        <f t="shared" si="58"/>
        <v>0</v>
      </c>
      <c r="X113" s="112">
        <f t="shared" si="58"/>
        <v>0</v>
      </c>
      <c r="Y113" s="112">
        <f t="shared" si="58"/>
        <v>0</v>
      </c>
      <c r="Z113" s="112">
        <f t="shared" si="58"/>
        <v>0</v>
      </c>
      <c r="AA113" s="112">
        <f t="shared" si="58"/>
        <v>0</v>
      </c>
      <c r="AB113" s="112">
        <f t="shared" si="58"/>
        <v>0</v>
      </c>
      <c r="AC113" s="112">
        <f t="shared" si="58"/>
        <v>0</v>
      </c>
      <c r="AD113" s="112">
        <f t="shared" si="58"/>
        <v>0</v>
      </c>
      <c r="AE113" s="112">
        <f t="shared" si="58"/>
        <v>0</v>
      </c>
      <c r="AF113" s="112">
        <f t="shared" si="58"/>
        <v>0</v>
      </c>
    </row>
    <row r="114" spans="2:32" hidden="1" outlineLevel="3">
      <c r="B114" s="168" t="s">
        <v>14</v>
      </c>
      <c r="C114" s="168"/>
      <c r="D114" s="168"/>
      <c r="E114" s="168"/>
      <c r="F114" s="168"/>
      <c r="G114" s="168"/>
      <c r="H114" s="7"/>
      <c r="I114" s="7"/>
      <c r="J114" s="112">
        <f t="shared" ref="J114:AF114" si="59">+IF(ISERROR(J76/J39),0,J76/J39)</f>
        <v>0</v>
      </c>
      <c r="K114" s="112">
        <f t="shared" si="59"/>
        <v>0</v>
      </c>
      <c r="L114" s="112">
        <f t="shared" si="59"/>
        <v>0</v>
      </c>
      <c r="M114" s="112">
        <f t="shared" si="59"/>
        <v>1</v>
      </c>
      <c r="N114" s="112">
        <f t="shared" si="59"/>
        <v>1</v>
      </c>
      <c r="O114" s="112">
        <f t="shared" si="59"/>
        <v>1</v>
      </c>
      <c r="P114" s="112">
        <f t="shared" si="59"/>
        <v>1</v>
      </c>
      <c r="Q114" s="112">
        <f t="shared" si="59"/>
        <v>1</v>
      </c>
      <c r="R114" s="112">
        <f t="shared" si="59"/>
        <v>1</v>
      </c>
      <c r="S114" s="112">
        <f t="shared" si="59"/>
        <v>1</v>
      </c>
      <c r="T114" s="112">
        <f t="shared" si="59"/>
        <v>1</v>
      </c>
      <c r="U114" s="112">
        <f t="shared" si="59"/>
        <v>1</v>
      </c>
      <c r="V114" s="112">
        <f t="shared" si="59"/>
        <v>1</v>
      </c>
      <c r="W114" s="112">
        <f t="shared" si="59"/>
        <v>1</v>
      </c>
      <c r="X114" s="112">
        <f t="shared" si="59"/>
        <v>1</v>
      </c>
      <c r="Y114" s="112">
        <f t="shared" si="59"/>
        <v>1</v>
      </c>
      <c r="Z114" s="112">
        <f t="shared" si="59"/>
        <v>1</v>
      </c>
      <c r="AA114" s="112">
        <f t="shared" si="59"/>
        <v>1</v>
      </c>
      <c r="AB114" s="112">
        <f t="shared" si="59"/>
        <v>1</v>
      </c>
      <c r="AC114" s="112">
        <f t="shared" si="59"/>
        <v>1</v>
      </c>
      <c r="AD114" s="112">
        <f t="shared" si="59"/>
        <v>1</v>
      </c>
      <c r="AE114" s="112">
        <f t="shared" si="59"/>
        <v>1</v>
      </c>
      <c r="AF114" s="112">
        <f t="shared" si="59"/>
        <v>1</v>
      </c>
    </row>
    <row r="115" spans="2:32" hidden="1" outlineLevel="2" collapsed="1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2:32" outlineLevel="1" collapsed="1">
      <c r="B116" s="7"/>
      <c r="C116" s="7"/>
      <c r="D116" s="7"/>
      <c r="E116" s="7"/>
      <c r="F116" s="7"/>
      <c r="G116" s="7"/>
      <c r="H116" s="7"/>
      <c r="I116" s="7"/>
      <c r="J116" s="7"/>
      <c r="K116" s="113"/>
      <c r="L116" s="113"/>
      <c r="M116" s="113"/>
      <c r="N116" s="113"/>
      <c r="O116" s="113">
        <f>+O127/O125</f>
        <v>0.16363829924643947</v>
      </c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</row>
    <row r="117" spans="2:32">
      <c r="B117" s="115" t="s">
        <v>299</v>
      </c>
      <c r="C117" s="115"/>
      <c r="D117" s="115"/>
      <c r="E117" s="115"/>
      <c r="F117" s="115"/>
      <c r="G117" s="115"/>
      <c r="H117" s="115"/>
      <c r="I117" s="86"/>
      <c r="J117" s="86"/>
      <c r="K117" s="116">
        <f t="shared" ref="K117:AF117" si="60">+K118/K5</f>
        <v>8.1993623414897673E-2</v>
      </c>
      <c r="L117" s="116">
        <f t="shared" si="60"/>
        <v>8.7930184648688778E-2</v>
      </c>
      <c r="M117" s="116">
        <f t="shared" si="60"/>
        <v>0.11802478663488968</v>
      </c>
      <c r="N117" s="116">
        <f t="shared" si="60"/>
        <v>9.04678382411193E-2</v>
      </c>
      <c r="O117" s="116">
        <f t="shared" si="60"/>
        <v>6.7813425534977739E-2</v>
      </c>
      <c r="P117" s="116">
        <f t="shared" si="60"/>
        <v>5.8466324072630443E-2</v>
      </c>
      <c r="Q117" s="116">
        <f t="shared" si="60"/>
        <v>4.7443645470654862E-2</v>
      </c>
      <c r="R117" s="116">
        <f t="shared" si="60"/>
        <v>4.4190078938380145E-2</v>
      </c>
      <c r="S117" s="116">
        <f t="shared" si="60"/>
        <v>4.2782471026959187E-2</v>
      </c>
      <c r="T117" s="116">
        <f t="shared" si="60"/>
        <v>4.0936971994721578E-2</v>
      </c>
      <c r="U117" s="116">
        <f t="shared" si="60"/>
        <v>3.9936085238698488E-2</v>
      </c>
      <c r="V117" s="116">
        <f t="shared" si="60"/>
        <v>3.9031520683956475E-2</v>
      </c>
      <c r="W117" s="116">
        <f t="shared" si="60"/>
        <v>3.8637220759276572E-2</v>
      </c>
      <c r="X117" s="116">
        <f t="shared" si="60"/>
        <v>3.8451630745956103E-2</v>
      </c>
      <c r="Y117" s="116">
        <f t="shared" si="60"/>
        <v>3.9175713441248095E-2</v>
      </c>
      <c r="Z117" s="116">
        <f t="shared" si="60"/>
        <v>3.8864179218624326E-2</v>
      </c>
      <c r="AA117" s="116">
        <f t="shared" si="60"/>
        <v>3.8424827109732045E-2</v>
      </c>
      <c r="AB117" s="116">
        <f t="shared" si="60"/>
        <v>3.7919206417373202E-2</v>
      </c>
      <c r="AC117" s="116">
        <f t="shared" si="60"/>
        <v>3.8306211170426603E-2</v>
      </c>
      <c r="AD117" s="116">
        <f t="shared" si="60"/>
        <v>3.700417946779639E-2</v>
      </c>
      <c r="AE117" s="116">
        <f t="shared" si="60"/>
        <v>3.7555952674564318E-2</v>
      </c>
      <c r="AF117" s="116">
        <f t="shared" si="60"/>
        <v>3.5807485540708159E-2</v>
      </c>
    </row>
    <row r="118" spans="2:32">
      <c r="B118" s="84" t="s">
        <v>24</v>
      </c>
      <c r="C118" s="84"/>
      <c r="D118" s="84"/>
      <c r="E118" s="84"/>
      <c r="F118" s="84"/>
      <c r="G118" s="84"/>
      <c r="H118" s="84"/>
      <c r="I118" s="84"/>
      <c r="J118" s="89">
        <f>+SUBTOTAL(9,J119:J125)</f>
        <v>0</v>
      </c>
      <c r="K118" s="89">
        <f>+SUBTOTAL(9,K119:K127)</f>
        <v>16999</v>
      </c>
      <c r="L118" s="89">
        <f t="shared" ref="L118:AF118" si="61">+SUBTOTAL(9,L119:L127)</f>
        <v>18222.72242081444</v>
      </c>
      <c r="M118" s="89">
        <f t="shared" si="61"/>
        <v>18218.793388247177</v>
      </c>
      <c r="N118" s="89">
        <f t="shared" si="61"/>
        <v>18706.999390389472</v>
      </c>
      <c r="O118" s="89">
        <f t="shared" si="61"/>
        <v>19397.06820893507</v>
      </c>
      <c r="P118" s="89">
        <f t="shared" si="61"/>
        <v>19900.898672987092</v>
      </c>
      <c r="Q118" s="89">
        <f t="shared" si="61"/>
        <v>20720.368124278859</v>
      </c>
      <c r="R118" s="89">
        <f t="shared" si="61"/>
        <v>22061.373316566169</v>
      </c>
      <c r="S118" s="89">
        <f t="shared" si="61"/>
        <v>23321.290722420581</v>
      </c>
      <c r="T118" s="89">
        <f t="shared" si="61"/>
        <v>24724.287498776212</v>
      </c>
      <c r="U118" s="89">
        <f t="shared" si="61"/>
        <v>26107.264387279629</v>
      </c>
      <c r="V118" s="89">
        <f t="shared" si="61"/>
        <v>27560.314205462961</v>
      </c>
      <c r="W118" s="89">
        <f t="shared" si="61"/>
        <v>29008.745064865583</v>
      </c>
      <c r="X118" s="89">
        <f t="shared" si="61"/>
        <v>30494.634640653207</v>
      </c>
      <c r="Y118" s="89">
        <f t="shared" si="61"/>
        <v>31876.601620159723</v>
      </c>
      <c r="Z118" s="89">
        <f t="shared" si="61"/>
        <v>33534.078636669619</v>
      </c>
      <c r="AA118" s="89">
        <f t="shared" si="61"/>
        <v>35307.319363391871</v>
      </c>
      <c r="AB118" s="89">
        <f t="shared" si="61"/>
        <v>37192.961710685762</v>
      </c>
      <c r="AC118" s="89">
        <f t="shared" si="61"/>
        <v>38955.574419435878</v>
      </c>
      <c r="AD118" s="89">
        <f t="shared" si="61"/>
        <v>41256.771408512286</v>
      </c>
      <c r="AE118" s="89">
        <f t="shared" si="61"/>
        <v>43158.424790070385</v>
      </c>
      <c r="AF118" s="89">
        <f t="shared" si="61"/>
        <v>43690.783353735867</v>
      </c>
    </row>
    <row r="119" spans="2:32" outlineLevel="1">
      <c r="B119" s="4" t="s">
        <v>10</v>
      </c>
      <c r="C119" s="4"/>
      <c r="D119" s="4"/>
      <c r="E119" s="4"/>
      <c r="F119" s="4"/>
      <c r="G119" s="4"/>
      <c r="H119" s="4"/>
      <c r="J119" s="38"/>
      <c r="K119" s="38">
        <v>1427</v>
      </c>
      <c r="L119" s="38">
        <v>1917</v>
      </c>
      <c r="M119" s="38">
        <f>+IF(M181="PIB",L119*(1+Proyecciones!H$5)*(1+Proyecciones!H$6),IF(M181="INF",L119*(1+Proyecciones!H$6),L119*(1+M181)))</f>
        <v>1955.3400000000001</v>
      </c>
      <c r="N119" s="38">
        <f>+IF(N181="PIB",M119*(1+Proyecciones!I$5)*(1+Proyecciones!I$6),IF(N181="INF",M119*(1+Proyecciones!I$6),M119*(1+N181)))</f>
        <v>1974.8934000000002</v>
      </c>
      <c r="O119" s="38">
        <f>+IF(O181="PIB",N119*(1+Proyecciones!J$5)*(1+Proyecciones!J$6),IF(O181="INF",N119*(1+Proyecciones!J$6),N119*(1+O181)))</f>
        <v>1994.6423340000001</v>
      </c>
      <c r="P119" s="38">
        <f>+IF(P181="PIB",O119*(1+Proyecciones!K$5)*(1+Proyecciones!K$6),IF(P181="INF",O119*(1+Proyecciones!K$6),O119*(1+P181)))</f>
        <v>2014.58875734</v>
      </c>
      <c r="Q119" s="38">
        <f>+IF(Q181="PIB",P119*(1+Proyecciones!L$5)*(1+Proyecciones!L$6),IF(Q181="INF",P119*(1+Proyecciones!L$6),P119*(1+Q181)))</f>
        <v>2034.7346449134</v>
      </c>
      <c r="R119" s="38">
        <f>+IF(R181="PIB",Q119*(1+Proyecciones!M$5)*(1+Proyecciones!M$6),IF(R181="INF",Q119*(1+Proyecciones!M$6),Q119*(1+R181)))</f>
        <v>2136.47137715907</v>
      </c>
      <c r="S119" s="38">
        <f>+IF(S181="PIB",R119*(1+Proyecciones!N$5)*(1+Proyecciones!N$6),IF(S181="INF",R119*(1+Proyecciones!N$6),R119*(1+S181)))</f>
        <v>2243.2949460170234</v>
      </c>
      <c r="T119" s="38">
        <f>+IF(T181="PIB",S119*(1+Proyecciones!O$5)*(1+Proyecciones!O$6),IF(T181="INF",S119*(1+Proyecciones!O$6),S119*(1+T181)))</f>
        <v>2355.4596933178746</v>
      </c>
      <c r="U119" s="38">
        <f>+IF(U181="PIB",T119*(1+Proyecciones!P$5)*(1+Proyecciones!P$6),IF(U181="INF",T119*(1+Proyecciones!P$6),T119*(1+U181)))</f>
        <v>2473.2326779837686</v>
      </c>
      <c r="V119" s="38">
        <f>+IF(V181="PIB",U119*(1+Proyecciones!Q$5)*(1+Proyecciones!Q$6),IF(V181="INF",U119*(1+Proyecciones!Q$6),U119*(1+V181)))</f>
        <v>2596.894311882957</v>
      </c>
      <c r="W119" s="38">
        <f>+IF(W181="PIB",V119*(1+Proyecciones!R$5)*(1+Proyecciones!R$6),IF(W181="INF",V119*(1+Proyecciones!R$6),V119*(1+W181)))</f>
        <v>2726.7390274771051</v>
      </c>
      <c r="X119" s="38">
        <f>+IF(X181="PIB",W119*(1+Proyecciones!S$5)*(1+Proyecciones!S$6),IF(X181="INF",W119*(1+Proyecciones!S$6),W119*(1+X181)))</f>
        <v>2863.0759788509604</v>
      </c>
      <c r="Y119" s="38">
        <f>+IF(Y181="PIB",X119*(1+Proyecciones!T$5)*(1+Proyecciones!T$6),IF(Y181="INF",X119*(1+Proyecciones!T$6),X119*(1+Y181)))</f>
        <v>3006.2297777935087</v>
      </c>
      <c r="Z119" s="38">
        <f>+IF(Z181="PIB",Y119*(1+Proyecciones!U$5)*(1+Proyecciones!U$6),IF(Z181="INF",Y119*(1+Proyecciones!U$6),Y119*(1+Z181)))</f>
        <v>3156.5412666831844</v>
      </c>
      <c r="AA119" s="38">
        <f>+IF(AA181="PIB",Z119*(1+Proyecciones!V$5)*(1+Proyecciones!V$6),IF(AA181="INF",Z119*(1+Proyecciones!V$6),Z119*(1+AA181)))</f>
        <v>3314.3683300173439</v>
      </c>
      <c r="AB119" s="38">
        <f>+IF(AB181="PIB",AA119*(1+Proyecciones!W$5)*(1+Proyecciones!W$6),IF(AB181="INF",AA119*(1+Proyecciones!W$6),AA119*(1+AB181)))</f>
        <v>3480.0867465182114</v>
      </c>
      <c r="AC119" s="38">
        <f>+IF(AC181="PIB",AB119*(1+Proyecciones!X$5)*(1+Proyecciones!X$6),IF(AC181="INF",AB119*(1+Proyecciones!X$6),AB119*(1+AC181)))</f>
        <v>3654.0910838441223</v>
      </c>
      <c r="AD119" s="38">
        <f>+IF(AD181="PIB",AC119*(1+Proyecciones!Y$5)*(1+Proyecciones!Y$6),IF(AD181="INF",AC119*(1+Proyecciones!Y$6),AC119*(1+AD181)))</f>
        <v>3836.7956380363285</v>
      </c>
      <c r="AE119" s="38">
        <f>+IF(AE181="PIB",AD119*(1+Proyecciones!Z$5)*(1+Proyecciones!Z$6),IF(AE181="INF",AD119*(1+Proyecciones!Z$6),AD119*(1+AE181)))</f>
        <v>4028.6354199381449</v>
      </c>
      <c r="AF119" s="38">
        <f>+IF(AF181="PIB",AE119*(1+Proyecciones!AA$5)*(1+Proyecciones!AA$6),IF(AF181="INF",AE119*(1+Proyecciones!AA$6),AE119*(1+AF181)))</f>
        <v>4028.6354199381449</v>
      </c>
    </row>
    <row r="120" spans="2:32" outlineLevel="1">
      <c r="B120" s="4" t="s">
        <v>7</v>
      </c>
      <c r="C120" s="4"/>
      <c r="D120" s="4"/>
      <c r="E120" s="4"/>
      <c r="F120" s="4"/>
      <c r="G120" s="4"/>
      <c r="H120" s="4"/>
      <c r="J120" s="38"/>
      <c r="K120" s="38"/>
      <c r="L120" s="38"/>
      <c r="M120" s="38">
        <f>+IF(M182="PIB",L120*(1+Proyecciones!H$5)*(1+Proyecciones!H$6),IF(M182="INF",L120*(1+Proyecciones!H$6),L120*(1+M182)))</f>
        <v>0</v>
      </c>
      <c r="N120" s="38">
        <f>+IF(N182="PIB",M120*(1+Proyecciones!I$5)*(1+Proyecciones!I$6),IF(N182="INF",M120*(1+Proyecciones!I$6),M120*(1+N182)))</f>
        <v>0</v>
      </c>
      <c r="O120" s="38">
        <f>+IF(O182="PIB",N120*(1+Proyecciones!J$5)*(1+Proyecciones!J$6),IF(O182="INF",N120*(1+Proyecciones!J$6),N120*(1+O182)))</f>
        <v>0</v>
      </c>
      <c r="P120" s="38">
        <f>+IF(P182="PIB",O120*(1+Proyecciones!K$5)*(1+Proyecciones!K$6),IF(P182="INF",O120*(1+Proyecciones!K$6),O120*(1+P182)))</f>
        <v>0</v>
      </c>
      <c r="Q120" s="38">
        <f>+IF(Q182="PIB",P120*(1+Proyecciones!L$5)*(1+Proyecciones!L$6),IF(Q182="INF",P120*(1+Proyecciones!L$6),P120*(1+Q182)))</f>
        <v>0</v>
      </c>
      <c r="R120" s="38">
        <f>+IF(R182="PIB",Q120*(1+Proyecciones!M$5)*(1+Proyecciones!M$6),IF(R182="INF",Q120*(1+Proyecciones!M$6),Q120*(1+R182)))</f>
        <v>0</v>
      </c>
      <c r="S120" s="38">
        <f>+IF(S182="PIB",R120*(1+Proyecciones!N$5)*(1+Proyecciones!N$6),IF(S182="INF",R120*(1+Proyecciones!N$6),R120*(1+S182)))</f>
        <v>0</v>
      </c>
      <c r="T120" s="38">
        <f>+IF(T182="PIB",S120*(1+Proyecciones!O$5)*(1+Proyecciones!O$6),IF(T182="INF",S120*(1+Proyecciones!O$6),S120*(1+T182)))</f>
        <v>0</v>
      </c>
      <c r="U120" s="38">
        <f>+IF(U182="PIB",T120*(1+Proyecciones!P$5)*(1+Proyecciones!P$6),IF(U182="INF",T120*(1+Proyecciones!P$6),T120*(1+U182)))</f>
        <v>0</v>
      </c>
      <c r="V120" s="38">
        <f>+IF(V182="PIB",U120*(1+Proyecciones!Q$5)*(1+Proyecciones!Q$6),IF(V182="INF",U120*(1+Proyecciones!Q$6),U120*(1+V182)))</f>
        <v>0</v>
      </c>
      <c r="W120" s="38">
        <f>+IF(W182="PIB",V120*(1+Proyecciones!R$5)*(1+Proyecciones!R$6),IF(W182="INF",V120*(1+Proyecciones!R$6),V120*(1+W182)))</f>
        <v>0</v>
      </c>
      <c r="X120" s="38">
        <f>+IF(X182="PIB",W120*(1+Proyecciones!S$5)*(1+Proyecciones!S$6),IF(X182="INF",W120*(1+Proyecciones!S$6),W120*(1+X182)))</f>
        <v>0</v>
      </c>
      <c r="Y120" s="38">
        <f>+IF(Y182="PIB",X120*(1+Proyecciones!T$5)*(1+Proyecciones!T$6),IF(Y182="INF",X120*(1+Proyecciones!T$6),X120*(1+Y182)))</f>
        <v>0</v>
      </c>
      <c r="Z120" s="38">
        <f>+IF(Z182="PIB",Y120*(1+Proyecciones!U$5)*(1+Proyecciones!U$6),IF(Z182="INF",Y120*(1+Proyecciones!U$6),Y120*(1+Z182)))</f>
        <v>0</v>
      </c>
      <c r="AA120" s="38">
        <f>+IF(AA182="PIB",Z120*(1+Proyecciones!V$5)*(1+Proyecciones!V$6),IF(AA182="INF",Z120*(1+Proyecciones!V$6),Z120*(1+AA182)))</f>
        <v>0</v>
      </c>
      <c r="AB120" s="38">
        <f>+IF(AB182="PIB",AA120*(1+Proyecciones!W$5)*(1+Proyecciones!W$6),IF(AB182="INF",AA120*(1+Proyecciones!W$6),AA120*(1+AB182)))</f>
        <v>0</v>
      </c>
      <c r="AC120" s="38">
        <f>+IF(AC182="PIB",AB120*(1+Proyecciones!X$5)*(1+Proyecciones!X$6),IF(AC182="INF",AB120*(1+Proyecciones!X$6),AB120*(1+AC182)))</f>
        <v>0</v>
      </c>
      <c r="AD120" s="38">
        <f>+IF(AD182="PIB",AC120*(1+Proyecciones!Y$5)*(1+Proyecciones!Y$6),IF(AD182="INF",AC120*(1+Proyecciones!Y$6),AC120*(1+AD182)))</f>
        <v>0</v>
      </c>
      <c r="AE120" s="38">
        <f>+IF(AE182="PIB",AD120*(1+Proyecciones!Z$5)*(1+Proyecciones!Z$6),IF(AE182="INF",AD120*(1+Proyecciones!Z$6),AD120*(1+AE182)))</f>
        <v>0</v>
      </c>
      <c r="AF120" s="38">
        <f>+IF(AF182="PIB",AE120*(1+Proyecciones!AA$5)*(1+Proyecciones!AA$6),IF(AF182="INF",AE120*(1+Proyecciones!AA$6),AE120*(1+AF182)))</f>
        <v>0</v>
      </c>
    </row>
    <row r="121" spans="2:32" outlineLevel="1">
      <c r="B121" s="4" t="s">
        <v>11</v>
      </c>
      <c r="C121" s="4"/>
      <c r="D121" s="4"/>
      <c r="E121" s="4"/>
      <c r="F121" s="4"/>
      <c r="G121" s="4"/>
      <c r="H121" s="4"/>
      <c r="J121" s="38"/>
      <c r="K121" s="38"/>
      <c r="L121" s="38"/>
      <c r="M121" s="38">
        <f>+IF(M183="PIB",L121*(1+Proyecciones!H$5)*(1+Proyecciones!H$6),IF(M183="INF",L121*(1+Proyecciones!H$6),L121*(1+M183)))</f>
        <v>0</v>
      </c>
      <c r="N121" s="38">
        <f>+IF(N183="PIB",M121*(1+Proyecciones!I$5)*(1+Proyecciones!I$6),IF(N183="INF",M121*(1+Proyecciones!I$6),M121*(1+N183)))</f>
        <v>0</v>
      </c>
      <c r="O121" s="38">
        <f>+IF(O183="PIB",N121*(1+Proyecciones!J$5)*(1+Proyecciones!J$6),IF(O183="INF",N121*(1+Proyecciones!J$6),N121*(1+O183)))</f>
        <v>0</v>
      </c>
      <c r="P121" s="38">
        <f>+IF(P183="PIB",O121*(1+Proyecciones!K$5)*(1+Proyecciones!K$6),IF(P183="INF",O121*(1+Proyecciones!K$6),O121*(1+P183)))</f>
        <v>0</v>
      </c>
      <c r="Q121" s="38">
        <f>+IF(Q183="PIB",P121*(1+Proyecciones!L$5)*(1+Proyecciones!L$6),IF(Q183="INF",P121*(1+Proyecciones!L$6),P121*(1+Q183)))</f>
        <v>0</v>
      </c>
      <c r="R121" s="38">
        <f>+IF(R183="PIB",Q121*(1+Proyecciones!M$5)*(1+Proyecciones!M$6),IF(R183="INF",Q121*(1+Proyecciones!M$6),Q121*(1+R183)))</f>
        <v>0</v>
      </c>
      <c r="S121" s="38">
        <f>+IF(S183="PIB",R121*(1+Proyecciones!N$5)*(1+Proyecciones!N$6),IF(S183="INF",R121*(1+Proyecciones!N$6),R121*(1+S183)))</f>
        <v>0</v>
      </c>
      <c r="T121" s="38">
        <f>+IF(T183="PIB",S121*(1+Proyecciones!O$5)*(1+Proyecciones!O$6),IF(T183="INF",S121*(1+Proyecciones!O$6),S121*(1+T183)))</f>
        <v>0</v>
      </c>
      <c r="U121" s="38">
        <f>+IF(U183="PIB",T121*(1+Proyecciones!P$5)*(1+Proyecciones!P$6),IF(U183="INF",T121*(1+Proyecciones!P$6),T121*(1+U183)))</f>
        <v>0</v>
      </c>
      <c r="V121" s="38">
        <f>+IF(V183="PIB",U121*(1+Proyecciones!Q$5)*(1+Proyecciones!Q$6),IF(V183="INF",U121*(1+Proyecciones!Q$6),U121*(1+V183)))</f>
        <v>0</v>
      </c>
      <c r="W121" s="38">
        <f>+IF(W183="PIB",V121*(1+Proyecciones!R$5)*(1+Proyecciones!R$6),IF(W183="INF",V121*(1+Proyecciones!R$6),V121*(1+W183)))</f>
        <v>0</v>
      </c>
      <c r="X121" s="38">
        <f>+IF(X183="PIB",W121*(1+Proyecciones!S$5)*(1+Proyecciones!S$6),IF(X183="INF",W121*(1+Proyecciones!S$6),W121*(1+X183)))</f>
        <v>0</v>
      </c>
      <c r="Y121" s="38">
        <f>+IF(Y183="PIB",X121*(1+Proyecciones!T$5)*(1+Proyecciones!T$6),IF(Y183="INF",X121*(1+Proyecciones!T$6),X121*(1+Y183)))</f>
        <v>0</v>
      </c>
      <c r="Z121" s="38">
        <f>+IF(Z183="PIB",Y121*(1+Proyecciones!U$5)*(1+Proyecciones!U$6),IF(Z183="INF",Y121*(1+Proyecciones!U$6),Y121*(1+Z183)))</f>
        <v>0</v>
      </c>
      <c r="AA121" s="38">
        <f>+IF(AA183="PIB",Z121*(1+Proyecciones!V$5)*(1+Proyecciones!V$6),IF(AA183="INF",Z121*(1+Proyecciones!V$6),Z121*(1+AA183)))</f>
        <v>0</v>
      </c>
      <c r="AB121" s="38">
        <f>+IF(AB183="PIB",AA121*(1+Proyecciones!W$5)*(1+Proyecciones!W$6),IF(AB183="INF",AA121*(1+Proyecciones!W$6),AA121*(1+AB183)))</f>
        <v>0</v>
      </c>
      <c r="AC121" s="38">
        <f>+IF(AC183="PIB",AB121*(1+Proyecciones!X$5)*(1+Proyecciones!X$6),IF(AC183="INF",AB121*(1+Proyecciones!X$6),AB121*(1+AC183)))</f>
        <v>0</v>
      </c>
      <c r="AD121" s="38">
        <f>+IF(AD183="PIB",AC121*(1+Proyecciones!Y$5)*(1+Proyecciones!Y$6),IF(AD183="INF",AC121*(1+Proyecciones!Y$6),AC121*(1+AD183)))</f>
        <v>0</v>
      </c>
      <c r="AE121" s="38">
        <f>+IF(AE183="PIB",AD121*(1+Proyecciones!Z$5)*(1+Proyecciones!Z$6),IF(AE183="INF",AD121*(1+Proyecciones!Z$6),AD121*(1+AE183)))</f>
        <v>0</v>
      </c>
      <c r="AF121" s="38">
        <f>+IF(AF183="PIB",AE121*(1+Proyecciones!AA$5)*(1+Proyecciones!AA$6),IF(AF183="INF",AE121*(1+Proyecciones!AA$6),AE121*(1+AF183)))</f>
        <v>0</v>
      </c>
    </row>
    <row r="122" spans="2:32" outlineLevel="1">
      <c r="B122" s="4" t="s">
        <v>6</v>
      </c>
      <c r="C122" s="4"/>
      <c r="D122" s="4"/>
      <c r="E122" s="4"/>
      <c r="F122" s="4"/>
      <c r="G122" s="4"/>
      <c r="H122" s="4"/>
      <c r="J122" s="38"/>
      <c r="K122" s="38">
        <v>4095</v>
      </c>
      <c r="L122" s="38">
        <v>4250</v>
      </c>
      <c r="M122" s="38">
        <f>+IF(M184="PIB",L122*(1+Proyecciones!H$5)*(1+Proyecciones!H$6),IF(M184="INF",L122*(1+Proyecciones!H$6),L122*(1+M184)))</f>
        <v>4250</v>
      </c>
      <c r="N122" s="38">
        <f>+IF(N184="PIB",M122*(1+Proyecciones!I$5)*(1+Proyecciones!I$6),IF(N184="INF",M122*(1+Proyecciones!I$6),M122*(1+N184)))</f>
        <v>4271.25</v>
      </c>
      <c r="O122" s="38">
        <f>+IF(O184="PIB",N122*(1+Proyecciones!J$5)*(1+Proyecciones!J$6),IF(O184="INF",N122*(1+Proyecciones!J$6),N122*(1+O184)))</f>
        <v>4292.6062499999998</v>
      </c>
      <c r="P122" s="38">
        <f>+IF(P184="PIB",O122*(1+Proyecciones!K$5)*(1+Proyecciones!K$6),IF(P184="INF",O122*(1+Proyecciones!K$6),O122*(1+P184)))</f>
        <v>4314.0692812499992</v>
      </c>
      <c r="Q122" s="38">
        <f>+IF(Q184="PIB",P122*(1+Proyecciones!L$5)*(1+Proyecciones!L$6),IF(Q184="INF",P122*(1+Proyecciones!L$6),P122*(1+Q184)))</f>
        <v>4335.6396276562491</v>
      </c>
      <c r="R122" s="38">
        <f>+IF(R184="PIB",Q122*(1+Proyecciones!M$5)*(1+Proyecciones!M$6),IF(R184="INF",Q122*(1+Proyecciones!M$6),Q122*(1+R184)))</f>
        <v>4552.4216090390619</v>
      </c>
      <c r="S122" s="38">
        <f>+IF(S184="PIB",R122*(1+Proyecciones!N$5)*(1+Proyecciones!N$6),IF(S184="INF",R122*(1+Proyecciones!N$6),R122*(1+S184)))</f>
        <v>4780.0426894910152</v>
      </c>
      <c r="T122" s="38">
        <f>+IF(T184="PIB",S122*(1+Proyecciones!O$5)*(1+Proyecciones!O$6),IF(T184="INF",S122*(1+Proyecciones!O$6),S122*(1+T184)))</f>
        <v>5019.0448239655661</v>
      </c>
      <c r="U122" s="38">
        <f>+IF(U184="PIB",T122*(1+Proyecciones!P$5)*(1+Proyecciones!P$6),IF(U184="INF",T122*(1+Proyecciones!P$6),T122*(1+U184)))</f>
        <v>5269.997065163845</v>
      </c>
      <c r="V122" s="38">
        <f>+IF(V184="PIB",U122*(1+Proyecciones!Q$5)*(1+Proyecciones!Q$6),IF(V184="INF",U122*(1+Proyecciones!Q$6),U122*(1+V184)))</f>
        <v>5533.4969184220372</v>
      </c>
      <c r="W122" s="38">
        <f>+IF(W184="PIB",V122*(1+Proyecciones!R$5)*(1+Proyecciones!R$6),IF(W184="INF",V122*(1+Proyecciones!R$6),V122*(1+W184)))</f>
        <v>5810.1717643431393</v>
      </c>
      <c r="X122" s="38">
        <f>+IF(X184="PIB",W122*(1+Proyecciones!S$5)*(1+Proyecciones!S$6),IF(X184="INF",W122*(1+Proyecciones!S$6),W122*(1+X184)))</f>
        <v>6100.6803525602963</v>
      </c>
      <c r="Y122" s="38">
        <f>+IF(Y184="PIB",X122*(1+Proyecciones!T$5)*(1+Proyecciones!T$6),IF(Y184="INF",X122*(1+Proyecciones!T$6),X122*(1+Y184)))</f>
        <v>6405.7143701883115</v>
      </c>
      <c r="Z122" s="38">
        <f>+IF(Z184="PIB",Y122*(1+Proyecciones!U$5)*(1+Proyecciones!U$6),IF(Z184="INF",Y122*(1+Proyecciones!U$6),Y122*(1+Z184)))</f>
        <v>6726.0000886977277</v>
      </c>
      <c r="AA122" s="38">
        <f>+IF(AA184="PIB",Z122*(1+Proyecciones!V$5)*(1+Proyecciones!V$6),IF(AA184="INF",Z122*(1+Proyecciones!V$6),Z122*(1+AA184)))</f>
        <v>7062.3000931326142</v>
      </c>
      <c r="AB122" s="38">
        <f>+IF(AB184="PIB",AA122*(1+Proyecciones!W$5)*(1+Proyecciones!W$6),IF(AB184="INF",AA122*(1+Proyecciones!W$6),AA122*(1+AB184)))</f>
        <v>7415.415097789245</v>
      </c>
      <c r="AC122" s="38">
        <f>+IF(AC184="PIB",AB122*(1+Proyecciones!X$5)*(1+Proyecciones!X$6),IF(AC184="INF",AB122*(1+Proyecciones!X$6),AB122*(1+AC184)))</f>
        <v>7786.1858526787073</v>
      </c>
      <c r="AD122" s="38">
        <f>+IF(AD184="PIB",AC122*(1+Proyecciones!Y$5)*(1+Proyecciones!Y$6),IF(AD184="INF",AC122*(1+Proyecciones!Y$6),AC122*(1+AD184)))</f>
        <v>8175.4951453126432</v>
      </c>
      <c r="AE122" s="38">
        <f>+IF(AE184="PIB",AD122*(1+Proyecciones!Z$5)*(1+Proyecciones!Z$6),IF(AE184="INF",AD122*(1+Proyecciones!Z$6),AD122*(1+AE184)))</f>
        <v>8584.2699025782749</v>
      </c>
      <c r="AF122" s="38">
        <f>+IF(AF184="PIB",AE122*(1+Proyecciones!AA$5)*(1+Proyecciones!AA$6),IF(AF184="INF",AE122*(1+Proyecciones!AA$6),AE122*(1+AF184)))</f>
        <v>8584.2699025782749</v>
      </c>
    </row>
    <row r="123" spans="2:32" outlineLevel="1">
      <c r="B123" s="4" t="s">
        <v>8</v>
      </c>
      <c r="C123" s="4"/>
      <c r="D123" s="4"/>
      <c r="E123" s="4"/>
      <c r="F123" s="4"/>
      <c r="G123" s="4"/>
      <c r="H123" s="4"/>
      <c r="J123" s="38"/>
      <c r="K123" s="38"/>
      <c r="L123" s="38"/>
      <c r="M123" s="38">
        <f>+IF(M185="PIB",L123*(1+Proyecciones!H$5)*(1+Proyecciones!H$6),IF(M185="INF",L123*(1+Proyecciones!H$6),L123*(1+M185)))</f>
        <v>0</v>
      </c>
      <c r="N123" s="38">
        <f>+IF(N185="PIB",M123*(1+Proyecciones!I$5)*(1+Proyecciones!I$6),IF(N185="INF",M123*(1+Proyecciones!I$6),M123*(1+N185)))</f>
        <v>0</v>
      </c>
      <c r="O123" s="38">
        <f>+IF(O185="PIB",N123*(1+Proyecciones!J$5)*(1+Proyecciones!J$6),IF(O185="INF",N123*(1+Proyecciones!J$6),N123*(1+O185)))</f>
        <v>0</v>
      </c>
      <c r="P123" s="38">
        <f>+IF(P185="PIB",O123*(1+Proyecciones!K$5)*(1+Proyecciones!K$6),IF(P185="INF",O123*(1+Proyecciones!K$6),O123*(1+P185)))</f>
        <v>0</v>
      </c>
      <c r="Q123" s="38">
        <f>+IF(Q185="PIB",P123*(1+Proyecciones!L$5)*(1+Proyecciones!L$6),IF(Q185="INF",P123*(1+Proyecciones!L$6),P123*(1+Q185)))</f>
        <v>0</v>
      </c>
      <c r="R123" s="38">
        <f>+IF(R185="PIB",Q123*(1+Proyecciones!M$5)*(1+Proyecciones!M$6),IF(R185="INF",Q123*(1+Proyecciones!M$6),Q123*(1+R185)))</f>
        <v>0</v>
      </c>
      <c r="S123" s="38">
        <f>+IF(S185="PIB",R123*(1+Proyecciones!N$5)*(1+Proyecciones!N$6),IF(S185="INF",R123*(1+Proyecciones!N$6),R123*(1+S185)))</f>
        <v>0</v>
      </c>
      <c r="T123" s="38">
        <f>+IF(T185="PIB",S123*(1+Proyecciones!O$5)*(1+Proyecciones!O$6),IF(T185="INF",S123*(1+Proyecciones!O$6),S123*(1+T185)))</f>
        <v>0</v>
      </c>
      <c r="U123" s="38">
        <f>+IF(U185="PIB",T123*(1+Proyecciones!P$5)*(1+Proyecciones!P$6),IF(U185="INF",T123*(1+Proyecciones!P$6),T123*(1+U185)))</f>
        <v>0</v>
      </c>
      <c r="V123" s="38">
        <f>+IF(V185="PIB",U123*(1+Proyecciones!Q$5)*(1+Proyecciones!Q$6),IF(V185="INF",U123*(1+Proyecciones!Q$6),U123*(1+V185)))</f>
        <v>0</v>
      </c>
      <c r="W123" s="38">
        <f>+IF(W185="PIB",V123*(1+Proyecciones!R$5)*(1+Proyecciones!R$6),IF(W185="INF",V123*(1+Proyecciones!R$6),V123*(1+W185)))</f>
        <v>0</v>
      </c>
      <c r="X123" s="38">
        <f>+IF(X185="PIB",W123*(1+Proyecciones!S$5)*(1+Proyecciones!S$6),IF(X185="INF",W123*(1+Proyecciones!S$6),W123*(1+X185)))</f>
        <v>0</v>
      </c>
      <c r="Y123" s="38">
        <f>+IF(Y185="PIB",X123*(1+Proyecciones!T$5)*(1+Proyecciones!T$6),IF(Y185="INF",X123*(1+Proyecciones!T$6),X123*(1+Y185)))</f>
        <v>0</v>
      </c>
      <c r="Z123" s="38">
        <f>+IF(Z185="PIB",Y123*(1+Proyecciones!U$5)*(1+Proyecciones!U$6),IF(Z185="INF",Y123*(1+Proyecciones!U$6),Y123*(1+Z185)))</f>
        <v>0</v>
      </c>
      <c r="AA123" s="38">
        <f>+IF(AA185="PIB",Z123*(1+Proyecciones!V$5)*(1+Proyecciones!V$6),IF(AA185="INF",Z123*(1+Proyecciones!V$6),Z123*(1+AA185)))</f>
        <v>0</v>
      </c>
      <c r="AB123" s="38">
        <f>+IF(AB185="PIB",AA123*(1+Proyecciones!W$5)*(1+Proyecciones!W$6),IF(AB185="INF",AA123*(1+Proyecciones!W$6),AA123*(1+AB185)))</f>
        <v>0</v>
      </c>
      <c r="AC123" s="38">
        <f>+IF(AC185="PIB",AB123*(1+Proyecciones!X$5)*(1+Proyecciones!X$6),IF(AC185="INF",AB123*(1+Proyecciones!X$6),AB123*(1+AC185)))</f>
        <v>0</v>
      </c>
      <c r="AD123" s="38">
        <f>+IF(AD185="PIB",AC123*(1+Proyecciones!Y$5)*(1+Proyecciones!Y$6),IF(AD185="INF",AC123*(1+Proyecciones!Y$6),AC123*(1+AD185)))</f>
        <v>0</v>
      </c>
      <c r="AE123" s="38">
        <f>+IF(AE185="PIB",AD123*(1+Proyecciones!Z$5)*(1+Proyecciones!Z$6),IF(AE185="INF",AD123*(1+Proyecciones!Z$6),AD123*(1+AE185)))</f>
        <v>0</v>
      </c>
      <c r="AF123" s="38">
        <f>+IF(AF185="PIB",AE123*(1+Proyecciones!AA$5)*(1+Proyecciones!AA$6),IF(AF185="INF",AE123*(1+Proyecciones!AA$6),AE123*(1+AF185)))</f>
        <v>0</v>
      </c>
    </row>
    <row r="124" spans="2:32" outlineLevel="1">
      <c r="B124" s="4" t="s">
        <v>9</v>
      </c>
      <c r="C124" s="4"/>
      <c r="D124" s="4"/>
      <c r="E124" s="4"/>
      <c r="F124" s="4"/>
      <c r="G124" s="4"/>
      <c r="H124" s="4"/>
      <c r="J124" s="38"/>
      <c r="K124" s="38"/>
      <c r="L124" s="38"/>
      <c r="M124" s="38">
        <f>+IF(M186="PIB",L124*(1+Proyecciones!H$5)*(1+Proyecciones!H$6),IF(M186="INF",L124*(1+Proyecciones!H$6),L124*(1+M186)))</f>
        <v>0</v>
      </c>
      <c r="N124" s="38">
        <f>+IF(N186="PIB",M124*(1+Proyecciones!I$5)*(1+Proyecciones!I$6),IF(N186="INF",M124*(1+Proyecciones!I$6),M124*(1+N186)))</f>
        <v>0</v>
      </c>
      <c r="O124" s="38">
        <f>+IF(O186="PIB",N124*(1+Proyecciones!J$5)*(1+Proyecciones!J$6),IF(O186="INF",N124*(1+Proyecciones!J$6),N124*(1+O186)))</f>
        <v>0</v>
      </c>
      <c r="P124" s="38">
        <f>+IF(P186="PIB",O124*(1+Proyecciones!K$5)*(1+Proyecciones!K$6),IF(P186="INF",O124*(1+Proyecciones!K$6),O124*(1+P186)))</f>
        <v>0</v>
      </c>
      <c r="Q124" s="38">
        <f>+IF(Q186="PIB",P124*(1+Proyecciones!L$5)*(1+Proyecciones!L$6),IF(Q186="INF",P124*(1+Proyecciones!L$6),P124*(1+Q186)))</f>
        <v>0</v>
      </c>
      <c r="R124" s="38">
        <f>+IF(R186="PIB",Q124*(1+Proyecciones!M$5)*(1+Proyecciones!M$6),IF(R186="INF",Q124*(1+Proyecciones!M$6),Q124*(1+R186)))</f>
        <v>0</v>
      </c>
      <c r="S124" s="38">
        <f>+IF(S186="PIB",R124*(1+Proyecciones!N$5)*(1+Proyecciones!N$6),IF(S186="INF",R124*(1+Proyecciones!N$6),R124*(1+S186)))</f>
        <v>0</v>
      </c>
      <c r="T124" s="38">
        <f>+IF(T186="PIB",S124*(1+Proyecciones!O$5)*(1+Proyecciones!O$6),IF(T186="INF",S124*(1+Proyecciones!O$6),S124*(1+T186)))</f>
        <v>0</v>
      </c>
      <c r="U124" s="38">
        <f>+IF(U186="PIB",T124*(1+Proyecciones!P$5)*(1+Proyecciones!P$6),IF(U186="INF",T124*(1+Proyecciones!P$6),T124*(1+U186)))</f>
        <v>0</v>
      </c>
      <c r="V124" s="38">
        <f>+IF(V186="PIB",U124*(1+Proyecciones!Q$5)*(1+Proyecciones!Q$6),IF(V186="INF",U124*(1+Proyecciones!Q$6),U124*(1+V186)))</f>
        <v>0</v>
      </c>
      <c r="W124" s="38">
        <f>+IF(W186="PIB",V124*(1+Proyecciones!R$5)*(1+Proyecciones!R$6),IF(W186="INF",V124*(1+Proyecciones!R$6),V124*(1+W186)))</f>
        <v>0</v>
      </c>
      <c r="X124" s="38">
        <f>+IF(X186="PIB",W124*(1+Proyecciones!S$5)*(1+Proyecciones!S$6),IF(X186="INF",W124*(1+Proyecciones!S$6),W124*(1+X186)))</f>
        <v>0</v>
      </c>
      <c r="Y124" s="38">
        <f>+IF(Y186="PIB",X124*(1+Proyecciones!T$5)*(1+Proyecciones!T$6),IF(Y186="INF",X124*(1+Proyecciones!T$6),X124*(1+Y186)))</f>
        <v>0</v>
      </c>
      <c r="Z124" s="38">
        <f>+IF(Z186="PIB",Y124*(1+Proyecciones!U$5)*(1+Proyecciones!U$6),IF(Z186="INF",Y124*(1+Proyecciones!U$6),Y124*(1+Z186)))</f>
        <v>0</v>
      </c>
      <c r="AA124" s="38">
        <f>+IF(AA186="PIB",Z124*(1+Proyecciones!V$5)*(1+Proyecciones!V$6),IF(AA186="INF",Z124*(1+Proyecciones!V$6),Z124*(1+AA186)))</f>
        <v>0</v>
      </c>
      <c r="AB124" s="38">
        <f>+IF(AB186="PIB",AA124*(1+Proyecciones!W$5)*(1+Proyecciones!W$6),IF(AB186="INF",AA124*(1+Proyecciones!W$6),AA124*(1+AB186)))</f>
        <v>0</v>
      </c>
      <c r="AC124" s="38">
        <f>+IF(AC186="PIB",AB124*(1+Proyecciones!X$5)*(1+Proyecciones!X$6),IF(AC186="INF",AB124*(1+Proyecciones!X$6),AB124*(1+AC186)))</f>
        <v>0</v>
      </c>
      <c r="AD124" s="38">
        <f>+IF(AD186="PIB",AC124*(1+Proyecciones!Y$5)*(1+Proyecciones!Y$6),IF(AD186="INF",AC124*(1+Proyecciones!Y$6),AC124*(1+AD186)))</f>
        <v>0</v>
      </c>
      <c r="AE124" s="38">
        <f>+IF(AE186="PIB",AD124*(1+Proyecciones!Z$5)*(1+Proyecciones!Z$6),IF(AE186="INF",AD124*(1+Proyecciones!Z$6),AD124*(1+AE186)))</f>
        <v>0</v>
      </c>
      <c r="AF124" s="38">
        <f>+IF(AF186="PIB",AE124*(1+Proyecciones!AA$5)*(1+Proyecciones!AA$6),IF(AF186="INF",AE124*(1+Proyecciones!AA$6),AE124*(1+AF186)))</f>
        <v>0</v>
      </c>
    </row>
    <row r="125" spans="2:32" outlineLevel="1">
      <c r="B125" s="4" t="s">
        <v>25</v>
      </c>
      <c r="C125" s="4"/>
      <c r="D125" s="4"/>
      <c r="E125" s="4"/>
      <c r="F125" s="4"/>
      <c r="G125" s="4"/>
      <c r="H125" s="4"/>
      <c r="J125" s="38"/>
      <c r="K125" s="2">
        <f>+SUBTOTAL(9,K126:K127)</f>
        <v>11477</v>
      </c>
      <c r="L125" s="2">
        <f t="shared" ref="L125:AF125" si="62">+SUBTOTAL(9,L126:L127)</f>
        <v>12055.722420814438</v>
      </c>
      <c r="M125" s="2">
        <f t="shared" si="62"/>
        <v>12013.453388247181</v>
      </c>
      <c r="N125" s="2">
        <f t="shared" si="62"/>
        <v>12460.855990389473</v>
      </c>
      <c r="O125" s="2">
        <f t="shared" si="62"/>
        <v>13109.819624935073</v>
      </c>
      <c r="P125" s="2">
        <f t="shared" si="62"/>
        <v>13572.240634397091</v>
      </c>
      <c r="Q125" s="2">
        <f t="shared" si="62"/>
        <v>14349.993851709211</v>
      </c>
      <c r="R125" s="2">
        <f t="shared" si="62"/>
        <v>15372.480330368035</v>
      </c>
      <c r="S125" s="2">
        <f t="shared" si="62"/>
        <v>16297.953086912545</v>
      </c>
      <c r="T125" s="2">
        <f t="shared" si="62"/>
        <v>17349.782981492772</v>
      </c>
      <c r="U125" s="2">
        <f t="shared" si="62"/>
        <v>18364.034644132014</v>
      </c>
      <c r="V125" s="2">
        <f t="shared" si="62"/>
        <v>19429.922975157966</v>
      </c>
      <c r="W125" s="2">
        <f t="shared" si="62"/>
        <v>20471.834273045337</v>
      </c>
      <c r="X125" s="2">
        <f t="shared" si="62"/>
        <v>21530.878309241954</v>
      </c>
      <c r="Y125" s="2">
        <f t="shared" si="62"/>
        <v>22464.657472177903</v>
      </c>
      <c r="Z125" s="2">
        <f t="shared" si="62"/>
        <v>23651.537281288711</v>
      </c>
      <c r="AA125" s="2">
        <f t="shared" si="62"/>
        <v>24930.650940241918</v>
      </c>
      <c r="AB125" s="2">
        <f t="shared" si="62"/>
        <v>26297.459866378304</v>
      </c>
      <c r="AC125" s="2">
        <f t="shared" si="62"/>
        <v>27515.297482913047</v>
      </c>
      <c r="AD125" s="2">
        <f t="shared" si="62"/>
        <v>29244.480625163316</v>
      </c>
      <c r="AE125" s="2">
        <f t="shared" si="62"/>
        <v>30545.519467553968</v>
      </c>
      <c r="AF125" s="2">
        <f t="shared" si="62"/>
        <v>31077.878031219447</v>
      </c>
    </row>
    <row r="126" spans="2:32" outlineLevel="1">
      <c r="B126" s="5" t="s">
        <v>321</v>
      </c>
      <c r="C126" s="5"/>
      <c r="D126" s="5"/>
      <c r="E126" s="5"/>
      <c r="F126" s="5"/>
      <c r="G126" s="5"/>
      <c r="H126" s="4"/>
      <c r="J126" s="38"/>
      <c r="K126" s="2">
        <v>8775</v>
      </c>
      <c r="L126" s="2">
        <f>9534+700+0.003*L5</f>
        <v>10855.722420814438</v>
      </c>
      <c r="M126" s="2">
        <f>+IF(M187="PIB",L126*(1+Proyecciones!H$5)*(1+Proyecciones!H$6),IF(M187="INF",L126*(1+Proyecciones!H$6),L126*(1+M187)))</f>
        <v>10855.722420814438</v>
      </c>
      <c r="N126" s="2">
        <f>+IF(N187="PIB",M126*(1+Proyecciones!I$5)*(1+Proyecciones!I$6),IF(N187="INF",M126*(1+Proyecciones!I$6),M126*(1+N187)))</f>
        <v>10910.00103291851</v>
      </c>
      <c r="O126" s="2">
        <f>+IF(O187="PIB",N126*(1+Proyecciones!J$5)*(1+Proyecciones!J$6),IF(O187="INF",N126*(1+Proyecciones!J$6),N126*(1+O187)))</f>
        <v>10964.551038083102</v>
      </c>
      <c r="P126" s="2">
        <f>+IF(P187="PIB",O126*(1+Proyecciones!K$5)*(1+Proyecciones!K$6),IF(P187="INF",O126*(1+Proyecciones!K$6),O126*(1+P187)))</f>
        <v>11019.373793273517</v>
      </c>
      <c r="Q126" s="2">
        <f>+IF(Q187="PIB",P126*(1+Proyecciones!L$5)*(1+Proyecciones!L$6),IF(Q187="INF",P126*(1+Proyecciones!L$6),P126*(1+Q187)))</f>
        <v>11074.470662239883</v>
      </c>
      <c r="R126" s="2">
        <f>+IF(R187="PIB",Q126*(1+Proyecciones!M$5)*(1+Proyecciones!M$6),IF(R187="INF",Q126*(1+Proyecciones!M$6),Q126*(1+R187)))</f>
        <v>11628.194195351878</v>
      </c>
      <c r="S126" s="2">
        <f>+IF(S187="PIB",R126*(1+Proyecciones!N$5)*(1+Proyecciones!N$6),IF(S187="INF",R126*(1+Proyecciones!N$6),R126*(1+S187)))</f>
        <v>12209.603905119473</v>
      </c>
      <c r="T126" s="2">
        <f>+IF(T187="PIB",S126*(1+Proyecciones!O$5)*(1+Proyecciones!O$6),IF(T187="INF",S126*(1+Proyecciones!O$6),S126*(1+T187)))</f>
        <v>12820.084100375447</v>
      </c>
      <c r="U126" s="2">
        <f>+IF(U187="PIB",T126*(1+Proyecciones!P$5)*(1+Proyecciones!P$6),IF(U187="INF",T126*(1+Proyecciones!P$6),T126*(1+U187)))</f>
        <v>13461.08830539422</v>
      </c>
      <c r="V126" s="2">
        <f>+IF(V187="PIB",U126*(1+Proyecciones!Q$5)*(1+Proyecciones!Q$6),IF(V187="INF",U126*(1+Proyecciones!Q$6),U126*(1+V187)))</f>
        <v>14134.142720663931</v>
      </c>
      <c r="W126" s="2">
        <f>+IF(W187="PIB",V126*(1+Proyecciones!R$5)*(1+Proyecciones!R$6),IF(W187="INF",V126*(1+Proyecciones!R$6),V126*(1+W187)))</f>
        <v>14840.849856697128</v>
      </c>
      <c r="X126" s="2">
        <f>+IF(X187="PIB",W126*(1+Proyecciones!S$5)*(1+Proyecciones!S$6),IF(X187="INF",W126*(1+Proyecciones!S$6),W126*(1+X187)))</f>
        <v>15582.892349531985</v>
      </c>
      <c r="Y126" s="2">
        <f>+IF(Y187="PIB",X126*(1+Proyecciones!T$5)*(1+Proyecciones!T$6),IF(Y187="INF",X126*(1+Proyecciones!T$6),X126*(1+Y187)))</f>
        <v>16362.036967008586</v>
      </c>
      <c r="Z126" s="2">
        <f>+IF(Z187="PIB",Y126*(1+Proyecciones!U$5)*(1+Proyecciones!U$6),IF(Z187="INF",Y126*(1+Proyecciones!U$6),Y126*(1+Z187)))</f>
        <v>17180.138815359016</v>
      </c>
      <c r="AA126" s="2">
        <f>+IF(AA187="PIB",Z126*(1+Proyecciones!V$5)*(1+Proyecciones!V$6),IF(AA187="INF",Z126*(1+Proyecciones!V$6),Z126*(1+AA187)))</f>
        <v>18039.145756126967</v>
      </c>
      <c r="AB126" s="2">
        <f>+IF(AB187="PIB",AA126*(1+Proyecciones!W$5)*(1+Proyecciones!W$6),IF(AB187="INF",AA126*(1+Proyecciones!W$6),AA126*(1+AB187)))</f>
        <v>18941.103043933315</v>
      </c>
      <c r="AC126" s="2">
        <f>+IF(AC187="PIB",AB126*(1+Proyecciones!X$5)*(1+Proyecciones!X$6),IF(AC187="INF",AB126*(1+Proyecciones!X$6),AB126*(1+AC187)))</f>
        <v>19888.158196129982</v>
      </c>
      <c r="AD126" s="2">
        <f>+IF(AD187="PIB",AC126*(1+Proyecciones!Y$5)*(1+Proyecciones!Y$6),IF(AD187="INF",AC126*(1+Proyecciones!Y$6),AC126*(1+AD187)))</f>
        <v>20882.566105936483</v>
      </c>
      <c r="AE126" s="2">
        <f>+IF(AE187="PIB",AD126*(1+Proyecciones!Z$5)*(1+Proyecciones!Z$6),IF(AE187="INF",AD126*(1+Proyecciones!Z$6),AD126*(1+AE187)))</f>
        <v>21926.694411233308</v>
      </c>
      <c r="AF126" s="2">
        <f>+IF(AF187="PIB",AE126*(1+Proyecciones!AA$5)*(1+Proyecciones!AA$6),IF(AF187="INF",AE126*(1+Proyecciones!AA$6),AE126*(1+AF187)))</f>
        <v>21926.694411233308</v>
      </c>
    </row>
    <row r="127" spans="2:32" outlineLevel="1">
      <c r="B127" s="5" t="s">
        <v>622</v>
      </c>
      <c r="C127" s="5"/>
      <c r="D127" s="5"/>
      <c r="E127" s="5"/>
      <c r="F127" s="5"/>
      <c r="G127" s="5"/>
      <c r="H127" s="346">
        <f>+Proyecciones!E32</f>
        <v>7.4999999999999997E-3</v>
      </c>
      <c r="I127" t="s">
        <v>2</v>
      </c>
      <c r="J127" s="38"/>
      <c r="K127" s="2">
        <v>2702</v>
      </c>
      <c r="L127" s="2">
        <v>1200</v>
      </c>
      <c r="M127" s="2">
        <f>+$H$127*M5</f>
        <v>1157.7309674327423</v>
      </c>
      <c r="N127" s="2">
        <f t="shared" ref="N127:AF127" si="63">+$H$127*N5</f>
        <v>1550.8549574709632</v>
      </c>
      <c r="O127" s="2">
        <f>+$H$127*O5</f>
        <v>2145.2685868519702</v>
      </c>
      <c r="P127" s="2">
        <f t="shared" si="63"/>
        <v>2552.8668411235731</v>
      </c>
      <c r="Q127" s="2">
        <f t="shared" si="63"/>
        <v>3275.5231894693275</v>
      </c>
      <c r="R127" s="2">
        <f t="shared" si="63"/>
        <v>3744.2861350161565</v>
      </c>
      <c r="S127" s="2">
        <f t="shared" si="63"/>
        <v>4088.3491817930708</v>
      </c>
      <c r="T127" s="2">
        <f t="shared" si="63"/>
        <v>4529.6988811173251</v>
      </c>
      <c r="U127" s="2">
        <f t="shared" si="63"/>
        <v>4902.9463387377937</v>
      </c>
      <c r="V127" s="2">
        <f t="shared" si="63"/>
        <v>5295.780254494035</v>
      </c>
      <c r="W127" s="2">
        <f t="shared" si="63"/>
        <v>5630.9844163482085</v>
      </c>
      <c r="X127" s="2">
        <f t="shared" si="63"/>
        <v>5947.9859597099685</v>
      </c>
      <c r="Y127" s="2">
        <f t="shared" si="63"/>
        <v>6102.6205051693187</v>
      </c>
      <c r="Z127" s="2">
        <f t="shared" si="63"/>
        <v>6471.3984659296939</v>
      </c>
      <c r="AA127" s="2">
        <f t="shared" si="63"/>
        <v>6891.5051841149489</v>
      </c>
      <c r="AB127" s="2">
        <f t="shared" si="63"/>
        <v>7356.35682244499</v>
      </c>
      <c r="AC127" s="2">
        <f t="shared" si="63"/>
        <v>7627.1392867830664</v>
      </c>
      <c r="AD127" s="2">
        <f t="shared" si="63"/>
        <v>8361.9145192268334</v>
      </c>
      <c r="AE127" s="2">
        <f t="shared" si="63"/>
        <v>8618.8250563206602</v>
      </c>
      <c r="AF127" s="2">
        <f t="shared" si="63"/>
        <v>9151.1836199861391</v>
      </c>
    </row>
    <row r="128" spans="2:32" outlineLevel="1">
      <c r="B128" s="4" t="str">
        <f>+B95</f>
        <v>Recuperaciones</v>
      </c>
      <c r="C128" s="4"/>
      <c r="D128" s="4"/>
      <c r="E128" s="4"/>
      <c r="F128" s="4"/>
      <c r="G128" s="4"/>
      <c r="H128" s="4"/>
      <c r="J128" s="38"/>
      <c r="K128" s="38"/>
      <c r="L128" s="38"/>
      <c r="M128" s="38">
        <f>+IF(M188="PIB",L128*(1+Proyecciones!H$5)*(1+Proyecciones!H$6),IF(M188="INF",L128*(1+Proyecciones!H$6),L128*(1+M188)))</f>
        <v>0</v>
      </c>
      <c r="N128" s="38">
        <f>+IF(N188="PIB",M128*(1+Proyecciones!I$5)*(1+Proyecciones!I$6),IF(N188="INF",M128*(1+Proyecciones!I$6),M128*(1+N188)))</f>
        <v>0</v>
      </c>
      <c r="O128" s="38">
        <f>+IF(O188="PIB",N128*(1+Proyecciones!J$5)*(1+Proyecciones!J$6),IF(O188="INF",N128*(1+Proyecciones!J$6),N128*(1+O188)))</f>
        <v>0</v>
      </c>
      <c r="P128" s="38">
        <f>+IF(P188="PIB",O128*(1+Proyecciones!K$5)*(1+Proyecciones!K$6),IF(P188="INF",O128*(1+Proyecciones!K$6),O128*(1+P188)))</f>
        <v>0</v>
      </c>
      <c r="Q128" s="38">
        <f>+IF(Q188="PIB",P128*(1+Proyecciones!L$5)*(1+Proyecciones!L$6),IF(Q188="INF",P128*(1+Proyecciones!L$6),P128*(1+Q188)))</f>
        <v>0</v>
      </c>
      <c r="R128" s="38">
        <f>+IF(R188="PIB",Q128*(1+Proyecciones!M$5)*(1+Proyecciones!M$6),IF(R188="INF",Q128*(1+Proyecciones!M$6),Q128*(1+R188)))</f>
        <v>0</v>
      </c>
      <c r="S128" s="38">
        <f>+IF(S188="PIB",R128*(1+Proyecciones!N$5)*(1+Proyecciones!N$6),IF(S188="INF",R128*(1+Proyecciones!N$6),R128*(1+S188)))</f>
        <v>0</v>
      </c>
      <c r="T128" s="38">
        <f>+IF(T188="PIB",S128*(1+Proyecciones!O$5)*(1+Proyecciones!O$6),IF(T188="INF",S128*(1+Proyecciones!O$6),S128*(1+T188)))</f>
        <v>0</v>
      </c>
      <c r="U128" s="38">
        <f>+IF(U188="PIB",T128*(1+Proyecciones!P$5)*(1+Proyecciones!P$6),IF(U188="INF",T128*(1+Proyecciones!P$6),T128*(1+U188)))</f>
        <v>0</v>
      </c>
      <c r="V128" s="38">
        <f>+IF(V188="PIB",U128*(1+Proyecciones!Q$5)*(1+Proyecciones!Q$6),IF(V188="INF",U128*(1+Proyecciones!Q$6),U128*(1+V188)))</f>
        <v>0</v>
      </c>
      <c r="W128" s="38">
        <f>+IF(W188="PIB",V128*(1+Proyecciones!R$5)*(1+Proyecciones!R$6),IF(W188="INF",V128*(1+Proyecciones!R$6),V128*(1+W188)))</f>
        <v>0</v>
      </c>
      <c r="X128" s="38">
        <f>+IF(X188="PIB",W128*(1+Proyecciones!S$5)*(1+Proyecciones!S$6),IF(X188="INF",W128*(1+Proyecciones!S$6),W128*(1+X188)))</f>
        <v>0</v>
      </c>
      <c r="Y128" s="38">
        <f>+IF(Y188="PIB",X128*(1+Proyecciones!T$5)*(1+Proyecciones!T$6),IF(Y188="INF",X128*(1+Proyecciones!T$6),X128*(1+Y188)))</f>
        <v>0</v>
      </c>
      <c r="Z128" s="38">
        <f>+IF(Z188="PIB",Y128*(1+Proyecciones!U$5)*(1+Proyecciones!U$6),IF(Z188="INF",Y128*(1+Proyecciones!U$6),Y128*(1+Z188)))</f>
        <v>0</v>
      </c>
      <c r="AA128" s="38">
        <f>+IF(AA188="PIB",Z128*(1+Proyecciones!V$5)*(1+Proyecciones!V$6),IF(AA188="INF",Z128*(1+Proyecciones!V$6),Z128*(1+AA188)))</f>
        <v>0</v>
      </c>
      <c r="AB128" s="38">
        <f>+IF(AB188="PIB",AA128*(1+Proyecciones!W$5)*(1+Proyecciones!W$6),IF(AB188="INF",AA128*(1+Proyecciones!W$6),AA128*(1+AB188)))</f>
        <v>0</v>
      </c>
      <c r="AC128" s="38">
        <f>+IF(AC188="PIB",AB128*(1+Proyecciones!X$5)*(1+Proyecciones!X$6),IF(AC188="INF",AB128*(1+Proyecciones!X$6),AB128*(1+AC188)))</f>
        <v>0</v>
      </c>
      <c r="AD128" s="38">
        <f>+IF(AD188="PIB",AC128*(1+Proyecciones!Y$5)*(1+Proyecciones!Y$6),IF(AD188="INF",AC128*(1+Proyecciones!Y$6),AC128*(1+AD188)))</f>
        <v>0</v>
      </c>
      <c r="AE128" s="38">
        <f>+IF(AE188="PIB",AD128*(1+Proyecciones!Z$5)*(1+Proyecciones!Z$6),IF(AE188="INF",AD128*(1+Proyecciones!Z$6),AD128*(1+AE188)))</f>
        <v>0</v>
      </c>
      <c r="AF128" s="38">
        <f>+IF(AF188="PIB",AE128*(1+Proyecciones!AA$5)*(1+Proyecciones!AA$6),IF(AF188="INF",AE128*(1+Proyecciones!AA$6),AE128*(1+AF188)))</f>
        <v>0</v>
      </c>
    </row>
    <row r="129" spans="2:32" outlineLevel="1">
      <c r="B129" s="4">
        <f>+B97</f>
        <v>0</v>
      </c>
      <c r="C129" s="4"/>
      <c r="D129" s="4"/>
      <c r="E129" s="4"/>
      <c r="F129" s="4"/>
      <c r="G129" s="4"/>
      <c r="H129" s="4"/>
      <c r="J129" s="38"/>
      <c r="K129" s="38"/>
      <c r="L129" s="38"/>
      <c r="M129" s="38">
        <f>+IF(M189="PIB",L129*(1+Proyecciones!H$5)*(1+Proyecciones!H$6),IF(M189="INF",L129*(1+Proyecciones!H$6),L129*(1+M189)))</f>
        <v>0</v>
      </c>
      <c r="N129" s="38">
        <f>+IF(N189="PIB",M129*(1+Proyecciones!I$5)*(1+Proyecciones!I$6),IF(N189="INF",M129*(1+Proyecciones!I$6),M129*(1+N189)))</f>
        <v>0</v>
      </c>
      <c r="O129" s="38">
        <f>+IF(O189="PIB",N129*(1+Proyecciones!J$5)*(1+Proyecciones!J$6),IF(O189="INF",N129*(1+Proyecciones!J$6),N129*(1+O189)))</f>
        <v>0</v>
      </c>
      <c r="P129" s="38">
        <f>+IF(P189="PIB",O129*(1+Proyecciones!K$5)*(1+Proyecciones!K$6),IF(P189="INF",O129*(1+Proyecciones!K$6),O129*(1+P189)))</f>
        <v>0</v>
      </c>
      <c r="Q129" s="38">
        <f>+IF(Q189="PIB",P129*(1+Proyecciones!L$5)*(1+Proyecciones!L$6),IF(Q189="INF",P129*(1+Proyecciones!L$6),P129*(1+Q189)))</f>
        <v>0</v>
      </c>
      <c r="R129" s="38">
        <f>+IF(R189="PIB",Q129*(1+Proyecciones!M$5)*(1+Proyecciones!M$6),IF(R189="INF",Q129*(1+Proyecciones!M$6),Q129*(1+R189)))</f>
        <v>0</v>
      </c>
      <c r="S129" s="38">
        <f>+IF(S189="PIB",R129*(1+Proyecciones!N$5)*(1+Proyecciones!N$6),IF(S189="INF",R129*(1+Proyecciones!N$6),R129*(1+S189)))</f>
        <v>0</v>
      </c>
      <c r="T129" s="38">
        <f>+IF(T189="PIB",S129*(1+Proyecciones!O$5)*(1+Proyecciones!O$6),IF(T189="INF",S129*(1+Proyecciones!O$6),S129*(1+T189)))</f>
        <v>0</v>
      </c>
      <c r="U129" s="38">
        <f>+IF(U189="PIB",T129*(1+Proyecciones!P$5)*(1+Proyecciones!P$6),IF(U189="INF",T129*(1+Proyecciones!P$6),T129*(1+U189)))</f>
        <v>0</v>
      </c>
      <c r="V129" s="38">
        <f>+IF(V189="PIB",U129*(1+Proyecciones!Q$5)*(1+Proyecciones!Q$6),IF(V189="INF",U129*(1+Proyecciones!Q$6),U129*(1+V189)))</f>
        <v>0</v>
      </c>
      <c r="W129" s="38">
        <f>+IF(W189="PIB",V129*(1+Proyecciones!R$5)*(1+Proyecciones!R$6),IF(W189="INF",V129*(1+Proyecciones!R$6),V129*(1+W189)))</f>
        <v>0</v>
      </c>
      <c r="X129" s="38">
        <f>+IF(X189="PIB",W129*(1+Proyecciones!S$5)*(1+Proyecciones!S$6),IF(X189="INF",W129*(1+Proyecciones!S$6),W129*(1+X189)))</f>
        <v>0</v>
      </c>
      <c r="Y129" s="38">
        <f>+IF(Y189="PIB",X129*(1+Proyecciones!T$5)*(1+Proyecciones!T$6),IF(Y189="INF",X129*(1+Proyecciones!T$6),X129*(1+Y189)))</f>
        <v>0</v>
      </c>
      <c r="Z129" s="38">
        <f>+IF(Z189="PIB",Y129*(1+Proyecciones!U$5)*(1+Proyecciones!U$6),IF(Z189="INF",Y129*(1+Proyecciones!U$6),Y129*(1+Z189)))</f>
        <v>0</v>
      </c>
      <c r="AA129" s="38">
        <f>+IF(AA189="PIB",Z129*(1+Proyecciones!V$5)*(1+Proyecciones!V$6),IF(AA189="INF",Z129*(1+Proyecciones!V$6),Z129*(1+AA189)))</f>
        <v>0</v>
      </c>
      <c r="AB129" s="38">
        <f>+IF(AB189="PIB",AA129*(1+Proyecciones!W$5)*(1+Proyecciones!W$6),IF(AB189="INF",AA129*(1+Proyecciones!W$6),AA129*(1+AB189)))</f>
        <v>0</v>
      </c>
      <c r="AC129" s="38">
        <f>+IF(AC189="PIB",AB129*(1+Proyecciones!X$5)*(1+Proyecciones!X$6),IF(AC189="INF",AB129*(1+Proyecciones!X$6),AB129*(1+AC189)))</f>
        <v>0</v>
      </c>
      <c r="AD129" s="38">
        <f>+IF(AD189="PIB",AC129*(1+Proyecciones!Y$5)*(1+Proyecciones!Y$6),IF(AD189="INF",AC129*(1+Proyecciones!Y$6),AC129*(1+AD189)))</f>
        <v>0</v>
      </c>
      <c r="AE129" s="38">
        <f>+IF(AE189="PIB",AD129*(1+Proyecciones!Z$5)*(1+Proyecciones!Z$6),IF(AE189="INF",AD129*(1+Proyecciones!Z$6),AD129*(1+AE189)))</f>
        <v>0</v>
      </c>
      <c r="AF129" s="38">
        <f>+IF(AF189="PIB",AE129*(1+Proyecciones!AA$5)*(1+Proyecciones!AA$6),IF(AF189="INF",AE129*(1+Proyecciones!AA$6),AE129*(1+AF189)))</f>
        <v>0</v>
      </c>
    </row>
    <row r="130" spans="2:32">
      <c r="J130" s="38"/>
      <c r="K130" s="38"/>
      <c r="L130" s="3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</row>
    <row r="131" spans="2:32">
      <c r="J131" s="38"/>
      <c r="K131" s="3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</row>
    <row r="132" spans="2:32">
      <c r="B132" s="118" t="s">
        <v>27</v>
      </c>
      <c r="C132" s="118"/>
      <c r="D132" s="118"/>
      <c r="E132" s="118"/>
      <c r="F132" s="118"/>
      <c r="G132" s="118"/>
      <c r="H132" s="118"/>
      <c r="I132" s="86"/>
      <c r="J132" s="93">
        <f t="shared" ref="J132:AF132" si="64">+J43-J118</f>
        <v>0</v>
      </c>
      <c r="K132" s="93">
        <f t="shared" si="64"/>
        <v>459</v>
      </c>
      <c r="L132" s="93">
        <f t="shared" si="64"/>
        <v>576.17145620247902</v>
      </c>
      <c r="M132" s="93">
        <f t="shared" si="64"/>
        <v>-8852.6583933622605</v>
      </c>
      <c r="N132" s="93">
        <f t="shared" si="64"/>
        <v>-4358.8401253700758</v>
      </c>
      <c r="O132" s="93">
        <f t="shared" si="64"/>
        <v>5681.4001057089372</v>
      </c>
      <c r="P132" s="93">
        <f t="shared" si="64"/>
        <v>9902.7664414934661</v>
      </c>
      <c r="Q132" s="93">
        <f t="shared" si="64"/>
        <v>19194.355762912892</v>
      </c>
      <c r="R132" s="93">
        <f t="shared" si="64"/>
        <v>25868.61224460254</v>
      </c>
      <c r="S132" s="93">
        <f t="shared" si="64"/>
        <v>29614.610776581325</v>
      </c>
      <c r="T132" s="93">
        <f t="shared" si="64"/>
        <v>35124.695484732722</v>
      </c>
      <c r="U132" s="93">
        <f t="shared" si="64"/>
        <v>38969.079074901412</v>
      </c>
      <c r="V132" s="93">
        <f t="shared" si="64"/>
        <v>43013.483105460749</v>
      </c>
      <c r="W132" s="93">
        <f t="shared" si="64"/>
        <v>46635.856710006876</v>
      </c>
      <c r="X132" s="93">
        <f>+X43-X118</f>
        <v>48880.532055513409</v>
      </c>
      <c r="Y132" s="93">
        <f t="shared" si="64"/>
        <v>47456.793212603123</v>
      </c>
      <c r="Z132" s="93">
        <f t="shared" si="64"/>
        <v>49691.347803928446</v>
      </c>
      <c r="AA132" s="93">
        <f t="shared" si="64"/>
        <v>52639.805656306082</v>
      </c>
      <c r="AB132" s="93">
        <f t="shared" si="64"/>
        <v>56196.672851045936</v>
      </c>
      <c r="AC132" s="93">
        <f t="shared" si="64"/>
        <v>56792.328296962711</v>
      </c>
      <c r="AD132" s="93">
        <f t="shared" si="64"/>
        <v>65864.654709706694</v>
      </c>
      <c r="AE132" s="93">
        <f t="shared" si="64"/>
        <v>64400.134641406774</v>
      </c>
      <c r="AF132" s="93">
        <f t="shared" si="64"/>
        <v>69318.332062228437</v>
      </c>
    </row>
    <row r="133" spans="2:32" outlineLevel="1">
      <c r="B133" s="87" t="s">
        <v>10</v>
      </c>
      <c r="C133" s="87"/>
      <c r="D133" s="87"/>
      <c r="E133" s="87"/>
      <c r="F133" s="87"/>
      <c r="G133" s="87"/>
      <c r="H133" s="87"/>
      <c r="I133" s="83"/>
      <c r="J133" s="88">
        <f t="shared" ref="J133:AF133" si="65">+J62-J119</f>
        <v>0</v>
      </c>
      <c r="K133" s="88">
        <f t="shared" si="65"/>
        <v>-1427</v>
      </c>
      <c r="L133" s="88">
        <f t="shared" si="65"/>
        <v>48.697321180826066</v>
      </c>
      <c r="M133" s="88">
        <f t="shared" si="65"/>
        <v>593.09742430989809</v>
      </c>
      <c r="N133" s="88">
        <f t="shared" si="65"/>
        <v>770.72520236040396</v>
      </c>
      <c r="O133" s="88">
        <f t="shared" si="65"/>
        <v>3518.6514515797462</v>
      </c>
      <c r="P133" s="88">
        <f t="shared" si="65"/>
        <v>4082.6610136793574</v>
      </c>
      <c r="Q133" s="88">
        <f t="shared" si="65"/>
        <v>6416.0968923944765</v>
      </c>
      <c r="R133" s="88">
        <f t="shared" si="65"/>
        <v>9093.6742496411207</v>
      </c>
      <c r="S133" s="88">
        <f t="shared" si="65"/>
        <v>10492.712022584092</v>
      </c>
      <c r="T133" s="88">
        <f t="shared" si="65"/>
        <v>12668.134267072197</v>
      </c>
      <c r="U133" s="88">
        <f t="shared" si="65"/>
        <v>14073.355124009126</v>
      </c>
      <c r="V133" s="88">
        <f t="shared" si="65"/>
        <v>15513.632981802139</v>
      </c>
      <c r="W133" s="88">
        <f t="shared" si="65"/>
        <v>16944.281236287057</v>
      </c>
      <c r="X133" s="88">
        <f t="shared" si="65"/>
        <v>17403.237192867542</v>
      </c>
      <c r="Y133" s="88">
        <f t="shared" si="65"/>
        <v>16175.476119283616</v>
      </c>
      <c r="Z133" s="88">
        <f t="shared" si="65"/>
        <v>16748.116580706213</v>
      </c>
      <c r="AA133" s="88">
        <f t="shared" si="65"/>
        <v>17593.998273712881</v>
      </c>
      <c r="AB133" s="88">
        <f t="shared" si="65"/>
        <v>18637.228368595774</v>
      </c>
      <c r="AC133" s="88">
        <f t="shared" si="65"/>
        <v>18664.85574470543</v>
      </c>
      <c r="AD133" s="88">
        <f t="shared" si="65"/>
        <v>21806.555852935086</v>
      </c>
      <c r="AE133" s="88">
        <f t="shared" si="65"/>
        <v>20242.341858830427</v>
      </c>
      <c r="AF133" s="88">
        <f t="shared" si="65"/>
        <v>21157.106711019318</v>
      </c>
    </row>
    <row r="134" spans="2:32" outlineLevel="1">
      <c r="B134" s="87" t="str">
        <f t="shared" ref="B134:B139" si="66">+B120</f>
        <v>Arquitectura</v>
      </c>
      <c r="C134" s="87"/>
      <c r="D134" s="87"/>
      <c r="E134" s="87"/>
      <c r="F134" s="87"/>
      <c r="G134" s="87"/>
      <c r="H134" s="87"/>
      <c r="I134" s="83"/>
      <c r="J134" s="88">
        <f t="shared" ref="J134:AF134" si="67">+J45+J65-J120</f>
        <v>0</v>
      </c>
      <c r="K134" s="88">
        <f t="shared" si="67"/>
        <v>1727</v>
      </c>
      <c r="L134" s="88">
        <f t="shared" si="67"/>
        <v>3493.2034145088001</v>
      </c>
      <c r="M134" s="88">
        <f t="shared" si="67"/>
        <v>1115.0548254912001</v>
      </c>
      <c r="N134" s="88">
        <f t="shared" si="67"/>
        <v>1417.6576139064516</v>
      </c>
      <c r="O134" s="88">
        <f t="shared" si="67"/>
        <v>2087.8806464610579</v>
      </c>
      <c r="P134" s="88">
        <f t="shared" si="67"/>
        <v>2813.0464881767175</v>
      </c>
      <c r="Q134" s="88">
        <f t="shared" si="67"/>
        <v>3100.3111036187292</v>
      </c>
      <c r="R134" s="88">
        <f t="shared" si="67"/>
        <v>3426.5313512026787</v>
      </c>
      <c r="S134" s="88">
        <f t="shared" si="67"/>
        <v>3651.1138721935604</v>
      </c>
      <c r="T134" s="88">
        <f t="shared" si="67"/>
        <v>3944.4397791132228</v>
      </c>
      <c r="U134" s="88">
        <f t="shared" si="67"/>
        <v>4178.5894614537447</v>
      </c>
      <c r="V134" s="88">
        <f t="shared" si="67"/>
        <v>4420.4507046232266</v>
      </c>
      <c r="W134" s="88">
        <f t="shared" si="67"/>
        <v>4666.5193721019696</v>
      </c>
      <c r="X134" s="88">
        <f t="shared" si="67"/>
        <v>4837.3145078538637</v>
      </c>
      <c r="Y134" s="88">
        <f t="shared" si="67"/>
        <v>4873.8254263229373</v>
      </c>
      <c r="Z134" s="88">
        <f t="shared" si="67"/>
        <v>5065.1077887510037</v>
      </c>
      <c r="AA134" s="88">
        <f t="shared" si="67"/>
        <v>5284.9008877481519</v>
      </c>
      <c r="AB134" s="88">
        <f t="shared" si="67"/>
        <v>5527.1599959190216</v>
      </c>
      <c r="AC134" s="88">
        <f t="shared" si="67"/>
        <v>5691.6694379415267</v>
      </c>
      <c r="AD134" s="88">
        <f t="shared" si="67"/>
        <v>6120.7460452341138</v>
      </c>
      <c r="AE134" s="88">
        <f t="shared" si="67"/>
        <v>6166.944004755791</v>
      </c>
      <c r="AF134" s="88">
        <f t="shared" si="67"/>
        <v>6408.9772158388678</v>
      </c>
    </row>
    <row r="135" spans="2:32" outlineLevel="1">
      <c r="B135" s="87" t="str">
        <f t="shared" si="66"/>
        <v>Preconstrucción</v>
      </c>
      <c r="C135" s="87"/>
      <c r="D135" s="87"/>
      <c r="E135" s="87"/>
      <c r="F135" s="87"/>
      <c r="G135" s="87"/>
      <c r="H135" s="87"/>
      <c r="I135" s="83"/>
      <c r="J135" s="88">
        <f t="shared" ref="J135:AF135" si="68">+J59+J68-J121</f>
        <v>0</v>
      </c>
      <c r="K135" s="88">
        <f t="shared" si="68"/>
        <v>309</v>
      </c>
      <c r="L135" s="88">
        <f t="shared" si="68"/>
        <v>0</v>
      </c>
      <c r="M135" s="88">
        <f t="shared" si="68"/>
        <v>17.9088624</v>
      </c>
      <c r="N135" s="88">
        <f t="shared" si="68"/>
        <v>64.443045562580636</v>
      </c>
      <c r="O135" s="88">
        <f t="shared" si="68"/>
        <v>124.99225858442321</v>
      </c>
      <c r="P135" s="88">
        <f t="shared" si="68"/>
        <v>202.01059527068693</v>
      </c>
      <c r="Q135" s="88">
        <f t="shared" si="68"/>
        <v>279.98812144749161</v>
      </c>
      <c r="R135" s="88">
        <f t="shared" si="68"/>
        <v>372.07076768107129</v>
      </c>
      <c r="S135" s="88">
        <f t="shared" si="68"/>
        <v>421.96210516542408</v>
      </c>
      <c r="T135" s="88">
        <f t="shared" si="68"/>
        <v>497.75313018480898</v>
      </c>
      <c r="U135" s="88">
        <f t="shared" si="68"/>
        <v>548.21209186259841</v>
      </c>
      <c r="V135" s="88">
        <f t="shared" si="68"/>
        <v>600.02764142163505</v>
      </c>
      <c r="W135" s="88">
        <f t="shared" si="68"/>
        <v>651.72900279602607</v>
      </c>
      <c r="X135" s="88">
        <f t="shared" si="68"/>
        <v>671.45190725499322</v>
      </c>
      <c r="Y135" s="88">
        <f t="shared" si="68"/>
        <v>635.51731880716068</v>
      </c>
      <c r="Z135" s="88">
        <f t="shared" si="68"/>
        <v>659.46974970950657</v>
      </c>
      <c r="AA135" s="88">
        <f t="shared" si="68"/>
        <v>692.72405467673013</v>
      </c>
      <c r="AB135" s="88">
        <f t="shared" si="68"/>
        <v>732.77824592817637</v>
      </c>
      <c r="AC135" s="88">
        <f t="shared" si="68"/>
        <v>739.45859263960119</v>
      </c>
      <c r="AD135" s="88">
        <f t="shared" si="68"/>
        <v>849.60086825515532</v>
      </c>
      <c r="AE135" s="88">
        <f t="shared" si="68"/>
        <v>804.13215007028623</v>
      </c>
      <c r="AF135" s="88">
        <f t="shared" si="68"/>
        <v>834.43961643023579</v>
      </c>
    </row>
    <row r="136" spans="2:32" outlineLevel="1">
      <c r="B136" s="87" t="str">
        <f t="shared" si="66"/>
        <v>Construcción</v>
      </c>
      <c r="C136" s="87"/>
      <c r="D136" s="87"/>
      <c r="E136" s="87"/>
      <c r="F136" s="87"/>
      <c r="G136" s="87"/>
      <c r="H136" s="87"/>
      <c r="I136" s="83"/>
      <c r="J136" s="88">
        <f t="shared" ref="J136:AF136" si="69">+J48+J71-J122</f>
        <v>0</v>
      </c>
      <c r="K136" s="88">
        <f t="shared" si="69"/>
        <v>8529</v>
      </c>
      <c r="L136" s="88">
        <f t="shared" si="69"/>
        <v>6279.4800270942396</v>
      </c>
      <c r="M136" s="88">
        <f t="shared" si="69"/>
        <v>259.45132847686909</v>
      </c>
      <c r="N136" s="88">
        <f t="shared" si="69"/>
        <v>3053.55740708346</v>
      </c>
      <c r="O136" s="88">
        <f t="shared" si="69"/>
        <v>9472.8964769681879</v>
      </c>
      <c r="P136" s="88">
        <f t="shared" si="69"/>
        <v>13321.116135987024</v>
      </c>
      <c r="Q136" s="88">
        <f t="shared" si="69"/>
        <v>18620.552497674849</v>
      </c>
      <c r="R136" s="88">
        <f t="shared" si="69"/>
        <v>21338.389817379684</v>
      </c>
      <c r="S136" s="88">
        <f t="shared" si="69"/>
        <v>23404.002251757669</v>
      </c>
      <c r="T136" s="88">
        <f t="shared" si="69"/>
        <v>26015.545664752921</v>
      </c>
      <c r="U136" s="88">
        <f t="shared" si="69"/>
        <v>28283.521429780245</v>
      </c>
      <c r="V136" s="88">
        <f t="shared" si="69"/>
        <v>30682.568342510102</v>
      </c>
      <c r="W136" s="88">
        <f t="shared" si="69"/>
        <v>32606.732630057944</v>
      </c>
      <c r="X136" s="88">
        <f t="shared" si="69"/>
        <v>34640.788350708797</v>
      </c>
      <c r="Y136" s="88">
        <f t="shared" si="69"/>
        <v>35831.363935955473</v>
      </c>
      <c r="Z136" s="88">
        <f t="shared" si="69"/>
        <v>38210.391446873029</v>
      </c>
      <c r="AA136" s="88">
        <f t="shared" si="69"/>
        <v>40903.276544063709</v>
      </c>
      <c r="AB136" s="88">
        <f t="shared" si="69"/>
        <v>43877.678014563709</v>
      </c>
      <c r="AC136" s="88">
        <f t="shared" si="69"/>
        <v>45562.674807078118</v>
      </c>
      <c r="AD136" s="88">
        <f t="shared" si="69"/>
        <v>50061.978147662339</v>
      </c>
      <c r="AE136" s="88">
        <f t="shared" si="69"/>
        <v>52035.614711620292</v>
      </c>
      <c r="AF136" s="88">
        <f t="shared" si="69"/>
        <v>6018.4233849508473</v>
      </c>
    </row>
    <row r="137" spans="2:32" outlineLevel="1">
      <c r="B137" s="87" t="str">
        <f t="shared" si="66"/>
        <v>Equipos</v>
      </c>
      <c r="C137" s="87"/>
      <c r="D137" s="87"/>
      <c r="E137" s="87"/>
      <c r="F137" s="87"/>
      <c r="G137" s="87"/>
      <c r="H137" s="87"/>
      <c r="I137" s="83"/>
      <c r="J137" s="88">
        <f t="shared" ref="J137:AF137" si="70">+J51-J123</f>
        <v>0</v>
      </c>
      <c r="K137" s="88">
        <f t="shared" si="70"/>
        <v>1407</v>
      </c>
      <c r="L137" s="88">
        <f t="shared" si="70"/>
        <v>583</v>
      </c>
      <c r="M137" s="88">
        <f t="shared" si="70"/>
        <v>170.24</v>
      </c>
      <c r="N137" s="88">
        <f t="shared" si="70"/>
        <v>265.57439999999997</v>
      </c>
      <c r="O137" s="88">
        <f t="shared" si="70"/>
        <v>276.19737600000002</v>
      </c>
      <c r="P137" s="88">
        <f t="shared" si="70"/>
        <v>287.24527103999998</v>
      </c>
      <c r="Q137" s="88">
        <f t="shared" si="70"/>
        <v>298.73508188159997</v>
      </c>
      <c r="R137" s="88">
        <f t="shared" si="70"/>
        <v>310.68448515686401</v>
      </c>
      <c r="S137" s="88">
        <f t="shared" si="70"/>
        <v>323.11186456313857</v>
      </c>
      <c r="T137" s="88">
        <f t="shared" si="70"/>
        <v>336.03633914566416</v>
      </c>
      <c r="U137" s="88">
        <f t="shared" si="70"/>
        <v>349.47779271149079</v>
      </c>
      <c r="V137" s="88">
        <f t="shared" si="70"/>
        <v>363.45690441995038</v>
      </c>
      <c r="W137" s="88">
        <f t="shared" si="70"/>
        <v>377.99518059674841</v>
      </c>
      <c r="X137" s="88">
        <f t="shared" si="70"/>
        <v>393.11498782061841</v>
      </c>
      <c r="Y137" s="88">
        <f t="shared" si="70"/>
        <v>408.83958733344315</v>
      </c>
      <c r="Z137" s="88">
        <f t="shared" si="70"/>
        <v>425.19317082678094</v>
      </c>
      <c r="AA137" s="88">
        <f t="shared" si="70"/>
        <v>442.20089765985216</v>
      </c>
      <c r="AB137" s="88">
        <f t="shared" si="70"/>
        <v>459.88893356624624</v>
      </c>
      <c r="AC137" s="88">
        <f t="shared" si="70"/>
        <v>478.28449090889609</v>
      </c>
      <c r="AD137" s="88">
        <f t="shared" si="70"/>
        <v>497.41587054525189</v>
      </c>
      <c r="AE137" s="88">
        <f t="shared" si="70"/>
        <v>517.31250536706204</v>
      </c>
      <c r="AF137" s="88">
        <f t="shared" si="70"/>
        <v>0</v>
      </c>
    </row>
    <row r="138" spans="2:32" outlineLevel="1">
      <c r="B138" s="87" t="str">
        <f t="shared" si="66"/>
        <v>Renta Activos</v>
      </c>
      <c r="C138" s="87"/>
      <c r="D138" s="87"/>
      <c r="E138" s="87"/>
      <c r="F138" s="87"/>
      <c r="G138" s="87"/>
      <c r="H138" s="87"/>
      <c r="I138" s="83"/>
      <c r="J138" s="88">
        <f t="shared" ref="J138:AF138" si="71">+J54-J124</f>
        <v>0</v>
      </c>
      <c r="K138" s="88">
        <f t="shared" si="71"/>
        <v>-152</v>
      </c>
      <c r="L138" s="88">
        <f t="shared" si="71"/>
        <v>-200</v>
      </c>
      <c r="M138" s="88">
        <f t="shared" si="71"/>
        <v>-1344.665</v>
      </c>
      <c r="N138" s="88">
        <f t="shared" si="71"/>
        <v>-541.65</v>
      </c>
      <c r="O138" s="88">
        <f t="shared" si="71"/>
        <v>-563.31600000000003</v>
      </c>
      <c r="P138" s="88">
        <f t="shared" si="71"/>
        <v>-585.84863999999993</v>
      </c>
      <c r="Q138" s="88">
        <f t="shared" si="71"/>
        <v>0</v>
      </c>
      <c r="R138" s="88">
        <f t="shared" si="71"/>
        <v>0</v>
      </c>
      <c r="S138" s="88">
        <f t="shared" si="71"/>
        <v>0</v>
      </c>
      <c r="T138" s="88">
        <f t="shared" si="71"/>
        <v>0</v>
      </c>
      <c r="U138" s="88">
        <f t="shared" si="71"/>
        <v>0</v>
      </c>
      <c r="V138" s="88">
        <f t="shared" si="71"/>
        <v>0</v>
      </c>
      <c r="W138" s="88">
        <f t="shared" si="71"/>
        <v>0</v>
      </c>
      <c r="X138" s="88">
        <f t="shared" si="71"/>
        <v>0</v>
      </c>
      <c r="Y138" s="88">
        <f t="shared" si="71"/>
        <v>0</v>
      </c>
      <c r="Z138" s="88">
        <f t="shared" si="71"/>
        <v>0</v>
      </c>
      <c r="AA138" s="88">
        <f t="shared" si="71"/>
        <v>0</v>
      </c>
      <c r="AB138" s="88">
        <f t="shared" si="71"/>
        <v>0</v>
      </c>
      <c r="AC138" s="88">
        <f t="shared" si="71"/>
        <v>0</v>
      </c>
      <c r="AD138" s="88">
        <f t="shared" si="71"/>
        <v>0</v>
      </c>
      <c r="AE138" s="88">
        <f t="shared" si="71"/>
        <v>0</v>
      </c>
      <c r="AF138" s="88">
        <f t="shared" si="71"/>
        <v>0</v>
      </c>
    </row>
    <row r="139" spans="2:32" outlineLevel="1">
      <c r="B139" s="87" t="str">
        <f t="shared" si="66"/>
        <v>Corporativo</v>
      </c>
      <c r="C139" s="87"/>
      <c r="D139" s="87"/>
      <c r="E139" s="87"/>
      <c r="F139" s="87"/>
      <c r="G139" s="87"/>
      <c r="H139" s="87"/>
      <c r="I139" s="83"/>
      <c r="J139" s="88">
        <f>+J57-J125+J74</f>
        <v>0</v>
      </c>
      <c r="K139" s="88">
        <f>+K57-K125+K74</f>
        <v>-11297</v>
      </c>
      <c r="L139" s="88">
        <f t="shared" ref="L139:AF139" si="72">+L57-L125+L74</f>
        <v>-9628.209306581386</v>
      </c>
      <c r="M139" s="88">
        <f t="shared" si="72"/>
        <v>-9663.7458340402318</v>
      </c>
      <c r="N139" s="88">
        <f t="shared" si="72"/>
        <v>-9389.1477942829715</v>
      </c>
      <c r="O139" s="88">
        <f t="shared" si="72"/>
        <v>-9235.9021038844767</v>
      </c>
      <c r="P139" s="88">
        <f t="shared" si="72"/>
        <v>-10217.464422660316</v>
      </c>
      <c r="Q139" s="88">
        <f t="shared" si="72"/>
        <v>-9521.3279341042544</v>
      </c>
      <c r="R139" s="88">
        <f t="shared" si="72"/>
        <v>-8672.7384264588818</v>
      </c>
      <c r="S139" s="88">
        <f t="shared" si="72"/>
        <v>-8678.2913396825679</v>
      </c>
      <c r="T139" s="88">
        <f t="shared" si="72"/>
        <v>-8337.2136955360857</v>
      </c>
      <c r="U139" s="88">
        <f t="shared" si="72"/>
        <v>-8464.0768249157918</v>
      </c>
      <c r="V139" s="88">
        <f t="shared" si="72"/>
        <v>-8566.653469316303</v>
      </c>
      <c r="W139" s="88">
        <f t="shared" si="72"/>
        <v>-8611.4007118328755</v>
      </c>
      <c r="X139" s="88">
        <f t="shared" si="72"/>
        <v>-9065.3748909924107</v>
      </c>
      <c r="Y139" s="88">
        <f t="shared" si="72"/>
        <v>-10468.22917509951</v>
      </c>
      <c r="Z139" s="88">
        <f t="shared" si="72"/>
        <v>-11416.930932938076</v>
      </c>
      <c r="AA139" s="88">
        <f t="shared" si="72"/>
        <v>-12277.295001555254</v>
      </c>
      <c r="AB139" s="88">
        <f t="shared" si="72"/>
        <v>-13038.060707527002</v>
      </c>
      <c r="AC139" s="88">
        <f t="shared" si="72"/>
        <v>-14344.614776310857</v>
      </c>
      <c r="AD139" s="88">
        <f t="shared" si="72"/>
        <v>-13471.642074925268</v>
      </c>
      <c r="AE139" s="88">
        <f t="shared" si="72"/>
        <v>-15366.210589237089</v>
      </c>
      <c r="AF139" s="88">
        <f t="shared" si="72"/>
        <v>-15597.197934839489</v>
      </c>
    </row>
    <row r="140" spans="2:32" outlineLevel="1">
      <c r="B140" s="87" t="str">
        <f>+B128</f>
        <v>Recuperaciones</v>
      </c>
      <c r="C140" s="87"/>
      <c r="D140" s="87"/>
      <c r="E140" s="87"/>
      <c r="F140" s="87"/>
      <c r="G140" s="87"/>
      <c r="H140" s="87"/>
      <c r="I140" s="83"/>
      <c r="J140" s="88">
        <f t="shared" ref="J140:AF140" si="73">+J58-J128</f>
        <v>0</v>
      </c>
      <c r="K140" s="88">
        <f t="shared" si="73"/>
        <v>1363</v>
      </c>
      <c r="L140" s="88">
        <f t="shared" si="73"/>
        <v>0</v>
      </c>
      <c r="M140" s="88">
        <f t="shared" si="73"/>
        <v>0</v>
      </c>
      <c r="N140" s="88">
        <f t="shared" si="73"/>
        <v>0</v>
      </c>
      <c r="O140" s="88">
        <f t="shared" si="73"/>
        <v>0</v>
      </c>
      <c r="P140" s="88">
        <f t="shared" si="73"/>
        <v>0</v>
      </c>
      <c r="Q140" s="88">
        <f t="shared" si="73"/>
        <v>0</v>
      </c>
      <c r="R140" s="88">
        <f t="shared" si="73"/>
        <v>0</v>
      </c>
      <c r="S140" s="88">
        <f t="shared" si="73"/>
        <v>0</v>
      </c>
      <c r="T140" s="88">
        <f t="shared" si="73"/>
        <v>0</v>
      </c>
      <c r="U140" s="88">
        <f t="shared" si="73"/>
        <v>0</v>
      </c>
      <c r="V140" s="88">
        <f t="shared" si="73"/>
        <v>0</v>
      </c>
      <c r="W140" s="88">
        <f t="shared" si="73"/>
        <v>0</v>
      </c>
      <c r="X140" s="88">
        <f t="shared" si="73"/>
        <v>0</v>
      </c>
      <c r="Y140" s="88">
        <f t="shared" si="73"/>
        <v>0</v>
      </c>
      <c r="Z140" s="88">
        <f t="shared" si="73"/>
        <v>0</v>
      </c>
      <c r="AA140" s="88">
        <f t="shared" si="73"/>
        <v>0</v>
      </c>
      <c r="AB140" s="88">
        <f t="shared" si="73"/>
        <v>0</v>
      </c>
      <c r="AC140" s="88">
        <f t="shared" si="73"/>
        <v>0</v>
      </c>
      <c r="AD140" s="88">
        <f t="shared" si="73"/>
        <v>0</v>
      </c>
      <c r="AE140" s="88">
        <f t="shared" si="73"/>
        <v>0</v>
      </c>
      <c r="AF140" s="88">
        <f t="shared" si="73"/>
        <v>0</v>
      </c>
    </row>
    <row r="141" spans="2:32" outlineLevel="1">
      <c r="B141" s="87"/>
      <c r="C141" s="87"/>
      <c r="D141" s="87"/>
      <c r="E141" s="87"/>
      <c r="F141" s="87"/>
      <c r="G141" s="87"/>
      <c r="H141" s="87"/>
      <c r="I141" s="83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</row>
    <row r="142" spans="2:32" outlineLevel="1">
      <c r="B142" s="87"/>
      <c r="C142" s="87"/>
      <c r="D142" s="87"/>
      <c r="E142" s="87"/>
      <c r="F142" s="87"/>
      <c r="G142" s="87"/>
      <c r="H142" s="87"/>
      <c r="I142" s="83"/>
      <c r="J142" s="119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</row>
    <row r="143" spans="2:32">
      <c r="B143" s="120" t="s">
        <v>28</v>
      </c>
      <c r="C143" s="120"/>
      <c r="D143" s="120"/>
      <c r="E143" s="120"/>
      <c r="F143" s="120"/>
      <c r="G143" s="120"/>
      <c r="H143" s="120"/>
      <c r="I143" s="84"/>
      <c r="J143" s="96">
        <f>+IF(ISERROR(J132/J$5),0,J132/J$5)</f>
        <v>0</v>
      </c>
      <c r="K143" s="96">
        <f>+IF(ISERROR(K132/K$5),0,K132/K$5)</f>
        <v>2.2139580650295918E-3</v>
      </c>
      <c r="L143" s="96">
        <f t="shared" ref="L143:AF143" si="74">+IF(ISERROR(L132/L$5),0,L132/L$5)</f>
        <v>2.7802027251054165E-3</v>
      </c>
      <c r="M143" s="96">
        <f t="shared" si="74"/>
        <v>-5.7349194085606188E-2</v>
      </c>
      <c r="N143" s="96">
        <f t="shared" si="74"/>
        <v>-2.1079534731981958E-2</v>
      </c>
      <c r="O143" s="96">
        <f t="shared" si="74"/>
        <v>1.9862548239400139E-2</v>
      </c>
      <c r="P143" s="96">
        <f t="shared" si="74"/>
        <v>2.9093075719731937E-2</v>
      </c>
      <c r="Q143" s="96">
        <f t="shared" si="74"/>
        <v>4.3949518869127437E-2</v>
      </c>
      <c r="R143" s="96">
        <f t="shared" si="74"/>
        <v>5.1816176659180958E-2</v>
      </c>
      <c r="S143" s="96">
        <f t="shared" si="74"/>
        <v>5.4327448793634346E-2</v>
      </c>
      <c r="T143" s="96">
        <f t="shared" si="74"/>
        <v>5.8157335189246567E-2</v>
      </c>
      <c r="U143" s="96">
        <f t="shared" si="74"/>
        <v>5.9610706067201535E-2</v>
      </c>
      <c r="V143" s="96">
        <f t="shared" si="74"/>
        <v>6.0916636980394741E-2</v>
      </c>
      <c r="W143" s="96">
        <f t="shared" si="74"/>
        <v>6.2115058303052952E-2</v>
      </c>
      <c r="X143" s="96">
        <f t="shared" si="74"/>
        <v>6.1634979117238309E-2</v>
      </c>
      <c r="Y143" s="96">
        <f t="shared" si="74"/>
        <v>5.8323461010402144E-2</v>
      </c>
      <c r="Z143" s="96">
        <f t="shared" si="74"/>
        <v>5.7589578279186163E-2</v>
      </c>
      <c r="AA143" s="96">
        <f t="shared" si="74"/>
        <v>5.7287708834974659E-2</v>
      </c>
      <c r="AB143" s="96">
        <f t="shared" si="74"/>
        <v>5.7293991653161985E-2</v>
      </c>
      <c r="AC143" s="96">
        <f t="shared" si="74"/>
        <v>5.5845638346388719E-2</v>
      </c>
      <c r="AD143" s="96">
        <f t="shared" si="74"/>
        <v>5.907557523901541E-2</v>
      </c>
      <c r="AE143" s="96">
        <f t="shared" si="74"/>
        <v>5.6040238275440975E-2</v>
      </c>
      <c r="AF143" s="96">
        <f t="shared" si="74"/>
        <v>5.6810956052863106E-2</v>
      </c>
    </row>
    <row r="144" spans="2:32" outlineLevel="1">
      <c r="B144" s="4" t="str">
        <f t="shared" ref="B144:B151" si="75">+B133</f>
        <v>Inmobiliario</v>
      </c>
      <c r="C144" s="4"/>
      <c r="D144" s="4"/>
      <c r="E144" s="4"/>
      <c r="F144" s="4"/>
      <c r="G144" s="4"/>
      <c r="H144" s="4"/>
      <c r="J144" s="11">
        <f>+IF(ISERROR(J133/(J$25)),0,J133/(J$25))</f>
        <v>0</v>
      </c>
      <c r="K144" s="11">
        <f>+IF(ISERROR(K133/(K$25)),0,K133/(K$25))</f>
        <v>0</v>
      </c>
      <c r="L144" s="11">
        <f t="shared" ref="L144:AF144" si="76">+IF(ISERROR(L133/(L$25)),0,L133/(L$25))</f>
        <v>2.9023347829912568E-3</v>
      </c>
      <c r="M144" s="11">
        <f t="shared" si="76"/>
        <v>4.4119087027037193E-2</v>
      </c>
      <c r="N144" s="11">
        <f t="shared" si="76"/>
        <v>4.7332264275051925E-2</v>
      </c>
      <c r="O144" s="11">
        <f t="shared" si="76"/>
        <v>0.100636297759506</v>
      </c>
      <c r="P144" s="11">
        <f t="shared" si="76"/>
        <v>0.13906734133621149</v>
      </c>
      <c r="Q144" s="11">
        <f t="shared" si="76"/>
        <v>0.15838031274815881</v>
      </c>
      <c r="R144" s="11">
        <f t="shared" si="76"/>
        <v>0.16981379903600594</v>
      </c>
      <c r="S144" s="11">
        <f t="shared" si="76"/>
        <v>0.17283334451591212</v>
      </c>
      <c r="T144" s="11">
        <f t="shared" si="76"/>
        <v>0.17695354043083214</v>
      </c>
      <c r="U144" s="11">
        <f t="shared" si="76"/>
        <v>0.17842885559573896</v>
      </c>
      <c r="V144" s="11">
        <f t="shared" si="76"/>
        <v>0.17976169260054353</v>
      </c>
      <c r="W144" s="11">
        <f t="shared" si="76"/>
        <v>0.18088156803808567</v>
      </c>
      <c r="X144" s="11">
        <f t="shared" si="76"/>
        <v>0.18078499869445949</v>
      </c>
      <c r="Y144" s="11">
        <f t="shared" si="76"/>
        <v>0.17791886130543272</v>
      </c>
      <c r="Z144" s="11">
        <f t="shared" si="76"/>
        <v>0.17712487391516488</v>
      </c>
      <c r="AA144" s="11">
        <f t="shared" si="76"/>
        <v>0.17678564780617465</v>
      </c>
      <c r="AB144" s="11">
        <f t="shared" si="76"/>
        <v>0.17682094220638889</v>
      </c>
      <c r="AC144" s="11">
        <f t="shared" si="76"/>
        <v>0.17513814775780892</v>
      </c>
      <c r="AD144" s="11">
        <f t="shared" si="76"/>
        <v>0.17902735422674723</v>
      </c>
      <c r="AE144" s="11">
        <f t="shared" si="76"/>
        <v>0.1759647338029687</v>
      </c>
      <c r="AF144" s="11">
        <f t="shared" si="76"/>
        <v>0.17683564855931255</v>
      </c>
    </row>
    <row r="145" spans="2:32" outlineLevel="1">
      <c r="B145" s="4" t="str">
        <f t="shared" si="75"/>
        <v>Arquitectura</v>
      </c>
      <c r="C145" s="4"/>
      <c r="D145" s="4"/>
      <c r="E145" s="4"/>
      <c r="F145" s="4"/>
      <c r="G145" s="4"/>
      <c r="H145" s="4"/>
      <c r="J145" s="11">
        <f>+IF(ISERROR(J134/(J$7+J$28)),0,J134/(J$7+J$28))</f>
        <v>0</v>
      </c>
      <c r="K145" s="11">
        <f>+IF(ISERROR(K134/(K$7+K$28)),0,K134/(K$7+K$28))</f>
        <v>0.19667463842386973</v>
      </c>
      <c r="L145" s="11">
        <f t="shared" ref="L145:AF145" si="77">+IF(ISERROR(L134/(L$7+L$28)),0,L134/(L$7+L$28))</f>
        <v>0.32667511119905718</v>
      </c>
      <c r="M145" s="11">
        <f t="shared" si="77"/>
        <v>0.12884320645218197</v>
      </c>
      <c r="N145" s="11">
        <f t="shared" si="77"/>
        <v>0.16603885521393996</v>
      </c>
      <c r="O145" s="11">
        <f t="shared" si="77"/>
        <v>0.22720333463731898</v>
      </c>
      <c r="P145" s="11">
        <f t="shared" si="77"/>
        <v>0.28889963271865821</v>
      </c>
      <c r="Q145" s="11">
        <f t="shared" si="77"/>
        <v>0.30096211354866131</v>
      </c>
      <c r="R145" s="11">
        <f t="shared" si="77"/>
        <v>0.31391156065700826</v>
      </c>
      <c r="S145" s="11">
        <f t="shared" si="77"/>
        <v>0.31916057252446478</v>
      </c>
      <c r="T145" s="11">
        <f t="shared" si="77"/>
        <v>0.32748586874131941</v>
      </c>
      <c r="U145" s="11">
        <f t="shared" si="77"/>
        <v>0.33156126820799392</v>
      </c>
      <c r="V145" s="11">
        <f t="shared" si="77"/>
        <v>0.33535020111922109</v>
      </c>
      <c r="W145" s="11">
        <f t="shared" si="77"/>
        <v>0.33869082066629808</v>
      </c>
      <c r="X145" s="11">
        <f t="shared" si="77"/>
        <v>0.33795779317331409</v>
      </c>
      <c r="Y145" s="11">
        <f t="shared" si="77"/>
        <v>0.3309017107831711</v>
      </c>
      <c r="Z145" s="11">
        <f t="shared" si="77"/>
        <v>0.3307413370537633</v>
      </c>
      <c r="AA145" s="11">
        <f t="shared" si="77"/>
        <v>0.33146283855797093</v>
      </c>
      <c r="AB145" s="11">
        <f t="shared" si="77"/>
        <v>0.33270483912929061</v>
      </c>
      <c r="AC145" s="11">
        <f t="shared" si="77"/>
        <v>0.33051250977074265</v>
      </c>
      <c r="AD145" s="11">
        <f t="shared" si="77"/>
        <v>0.33795779317331409</v>
      </c>
      <c r="AE145" s="11">
        <f t="shared" si="77"/>
        <v>0.33090171078317115</v>
      </c>
      <c r="AF145" s="11">
        <f t="shared" si="77"/>
        <v>0.3307413370537633</v>
      </c>
    </row>
    <row r="146" spans="2:32" outlineLevel="1">
      <c r="B146" s="4" t="str">
        <f t="shared" si="75"/>
        <v>Preconstrucción</v>
      </c>
      <c r="C146" s="4"/>
      <c r="D146" s="4"/>
      <c r="E146" s="4"/>
      <c r="F146" s="4"/>
      <c r="G146" s="4"/>
      <c r="H146" s="4"/>
      <c r="J146" s="11">
        <f>+IF(ISERROR(J135/(J$21+J$31)),0,J135/(J$21+J$31))</f>
        <v>0</v>
      </c>
      <c r="K146" s="11">
        <f>+IF(ISERROR(K135/(K$21+K$31)),0,K135/(K$21+K$31))</f>
        <v>0.75</v>
      </c>
      <c r="L146" s="11">
        <f t="shared" ref="L146:AF146" si="78">+IF(ISERROR(L135/(L$21+L$31)),0,L135/(L$21+L$31))</f>
        <v>0</v>
      </c>
      <c r="M146" s="11">
        <f t="shared" si="78"/>
        <v>1</v>
      </c>
      <c r="N146" s="11">
        <f t="shared" si="78"/>
        <v>1</v>
      </c>
      <c r="O146" s="11">
        <f t="shared" si="78"/>
        <v>1</v>
      </c>
      <c r="P146" s="11">
        <f t="shared" si="78"/>
        <v>1</v>
      </c>
      <c r="Q146" s="11">
        <f t="shared" si="78"/>
        <v>1</v>
      </c>
      <c r="R146" s="11">
        <f t="shared" si="78"/>
        <v>1</v>
      </c>
      <c r="S146" s="11">
        <f t="shared" si="78"/>
        <v>1</v>
      </c>
      <c r="T146" s="11">
        <f t="shared" si="78"/>
        <v>1</v>
      </c>
      <c r="U146" s="11">
        <f t="shared" si="78"/>
        <v>1</v>
      </c>
      <c r="V146" s="11">
        <f t="shared" si="78"/>
        <v>1</v>
      </c>
      <c r="W146" s="11">
        <f t="shared" si="78"/>
        <v>1</v>
      </c>
      <c r="X146" s="11">
        <f t="shared" si="78"/>
        <v>1</v>
      </c>
      <c r="Y146" s="11">
        <f t="shared" si="78"/>
        <v>1</v>
      </c>
      <c r="Z146" s="11">
        <f t="shared" si="78"/>
        <v>1</v>
      </c>
      <c r="AA146" s="11">
        <f t="shared" si="78"/>
        <v>1</v>
      </c>
      <c r="AB146" s="11">
        <f t="shared" si="78"/>
        <v>1</v>
      </c>
      <c r="AC146" s="11">
        <f t="shared" si="78"/>
        <v>1</v>
      </c>
      <c r="AD146" s="11">
        <f t="shared" si="78"/>
        <v>1</v>
      </c>
      <c r="AE146" s="11">
        <f t="shared" si="78"/>
        <v>1</v>
      </c>
      <c r="AF146" s="11">
        <f t="shared" si="78"/>
        <v>1</v>
      </c>
    </row>
    <row r="147" spans="2:32" outlineLevel="1">
      <c r="B147" s="4" t="str">
        <f t="shared" si="75"/>
        <v>Construcción</v>
      </c>
      <c r="C147" s="4"/>
      <c r="D147" s="4"/>
      <c r="E147" s="4"/>
      <c r="F147" s="4"/>
      <c r="G147" s="4"/>
      <c r="H147" s="4"/>
      <c r="J147" s="11">
        <f>+IF(ISERROR(J136/(J$10+J$34)),0,J136/(J$10+J$34))</f>
        <v>0</v>
      </c>
      <c r="K147" s="11">
        <f>+IF(ISERROR(K136/(K$10+K$34)),0,K136/(K$10+K$34))</f>
        <v>4.5811244138642258E-2</v>
      </c>
      <c r="L147" s="11">
        <f t="shared" ref="L147:AF147" si="79">+IF(ISERROR(L136/(L$10+L$34)),0,L136/(L$10+L$34))</f>
        <v>3.7137915606838171E-2</v>
      </c>
      <c r="M147" s="11">
        <f t="shared" si="79"/>
        <v>2.1088108190861232E-3</v>
      </c>
      <c r="N147" s="11">
        <f t="shared" si="79"/>
        <v>1.7879450160082123E-2</v>
      </c>
      <c r="O147" s="11">
        <f t="shared" si="79"/>
        <v>4.1271804036881125E-2</v>
      </c>
      <c r="P147" s="11">
        <f t="shared" si="79"/>
        <v>4.6087793908532397E-2</v>
      </c>
      <c r="Q147" s="11">
        <f t="shared" si="79"/>
        <v>4.9544247353008677E-2</v>
      </c>
      <c r="R147" s="11">
        <f t="shared" si="79"/>
        <v>5.0502457229034584E-2</v>
      </c>
      <c r="S147" s="11">
        <f t="shared" si="79"/>
        <v>5.0929564589366275E-2</v>
      </c>
      <c r="T147" s="11">
        <f t="shared" si="79"/>
        <v>5.1494096388283277E-2</v>
      </c>
      <c r="U147" s="11">
        <f t="shared" si="79"/>
        <v>5.1803517791662312E-2</v>
      </c>
      <c r="V147" s="11">
        <f t="shared" si="79"/>
        <v>5.2083765886833812E-2</v>
      </c>
      <c r="W147" s="11">
        <f t="shared" si="79"/>
        <v>5.2209898528329177E-2</v>
      </c>
      <c r="X147" s="11">
        <f t="shared" si="79"/>
        <v>5.2264495031170741E-2</v>
      </c>
      <c r="Y147" s="11">
        <f t="shared" si="79"/>
        <v>5.2035622642602385E-2</v>
      </c>
      <c r="Z147" s="11">
        <f t="shared" si="79"/>
        <v>5.2128584026059917E-2</v>
      </c>
      <c r="AA147" s="11">
        <f t="shared" si="79"/>
        <v>5.2260172659298033E-2</v>
      </c>
      <c r="AB147" s="11">
        <f t="shared" si="79"/>
        <v>5.241152869604631E-2</v>
      </c>
      <c r="AC147" s="11">
        <f t="shared" si="79"/>
        <v>5.2294106704750411E-2</v>
      </c>
      <c r="AD147" s="11">
        <f t="shared" si="79"/>
        <v>5.2691686716198435E-2</v>
      </c>
      <c r="AE147" s="11">
        <f t="shared" si="79"/>
        <v>5.2513581959652986E-2</v>
      </c>
      <c r="AF147" s="11">
        <f t="shared" si="79"/>
        <v>5.700044195240268E-3</v>
      </c>
    </row>
    <row r="148" spans="2:32" outlineLevel="1">
      <c r="B148" s="4" t="str">
        <f t="shared" si="75"/>
        <v>Equipos</v>
      </c>
      <c r="C148" s="4"/>
      <c r="D148" s="4"/>
      <c r="E148" s="4"/>
      <c r="F148" s="4"/>
      <c r="G148" s="4"/>
      <c r="H148" s="4"/>
      <c r="J148" s="11">
        <f>+IF(ISERROR(J137/(J$13)),0,J137/(J$13))</f>
        <v>0</v>
      </c>
      <c r="K148" s="11">
        <f>+IF(ISERROR(K137/(K$13)),0,K137/(K$13))</f>
        <v>0.34100824042656325</v>
      </c>
      <c r="L148" s="11">
        <f t="shared" ref="L148:AF148" si="80">+IF(ISERROR(L137/(L$13)),0,L137/(L$13))</f>
        <v>0.13698308270676693</v>
      </c>
      <c r="M148" s="11">
        <f t="shared" si="80"/>
        <v>0.04</v>
      </c>
      <c r="N148" s="11">
        <f t="shared" si="80"/>
        <v>0.06</v>
      </c>
      <c r="O148" s="11">
        <f t="shared" si="80"/>
        <v>6.0000000000000005E-2</v>
      </c>
      <c r="P148" s="11">
        <f t="shared" si="80"/>
        <v>0.06</v>
      </c>
      <c r="Q148" s="11">
        <f t="shared" si="80"/>
        <v>5.9999999999999991E-2</v>
      </c>
      <c r="R148" s="11">
        <f t="shared" si="80"/>
        <v>0.06</v>
      </c>
      <c r="S148" s="11">
        <f t="shared" si="80"/>
        <v>5.9999999999999991E-2</v>
      </c>
      <c r="T148" s="11">
        <f t="shared" si="80"/>
        <v>0.06</v>
      </c>
      <c r="U148" s="11">
        <f t="shared" si="80"/>
        <v>6.0000000000000005E-2</v>
      </c>
      <c r="V148" s="11">
        <f t="shared" si="80"/>
        <v>0.06</v>
      </c>
      <c r="W148" s="11">
        <f t="shared" si="80"/>
        <v>5.9999999999999991E-2</v>
      </c>
      <c r="X148" s="11">
        <f t="shared" si="80"/>
        <v>0.06</v>
      </c>
      <c r="Y148" s="11">
        <f t="shared" si="80"/>
        <v>0.06</v>
      </c>
      <c r="Z148" s="11">
        <f t="shared" si="80"/>
        <v>6.0000000000000005E-2</v>
      </c>
      <c r="AA148" s="11">
        <f t="shared" si="80"/>
        <v>0.06</v>
      </c>
      <c r="AB148" s="11">
        <f t="shared" si="80"/>
        <v>0.06</v>
      </c>
      <c r="AC148" s="11">
        <f t="shared" si="80"/>
        <v>0.06</v>
      </c>
      <c r="AD148" s="11">
        <f t="shared" si="80"/>
        <v>0.06</v>
      </c>
      <c r="AE148" s="11">
        <f t="shared" si="80"/>
        <v>0.06</v>
      </c>
      <c r="AF148" s="11">
        <f t="shared" si="80"/>
        <v>0</v>
      </c>
    </row>
    <row r="149" spans="2:32" outlineLevel="1">
      <c r="B149" s="4" t="str">
        <f t="shared" si="75"/>
        <v>Renta Activos</v>
      </c>
      <c r="C149" s="4"/>
      <c r="D149" s="4"/>
      <c r="E149" s="4"/>
      <c r="F149" s="4"/>
      <c r="G149" s="4"/>
      <c r="H149" s="4"/>
      <c r="J149" s="11">
        <f>+IF(ISERROR(J138/(J$16)),0,J138/(J$16))</f>
        <v>0</v>
      </c>
      <c r="K149" s="11">
        <f>+IF(ISERROR(K138/(K$16)),0,K138/(K$16))</f>
        <v>-4.5590881823635271E-2</v>
      </c>
      <c r="L149" s="11">
        <f t="shared" ref="L149:AF149" si="81">+IF(ISERROR(L138/(L$16)),0,L138/(L$16))</f>
        <v>-0.05</v>
      </c>
      <c r="M149" s="11">
        <f t="shared" si="81"/>
        <v>-0.51500000000000001</v>
      </c>
      <c r="N149" s="11">
        <f t="shared" si="81"/>
        <v>-0.15</v>
      </c>
      <c r="O149" s="11">
        <f t="shared" si="81"/>
        <v>-0.15</v>
      </c>
      <c r="P149" s="11">
        <f t="shared" si="81"/>
        <v>-0.15</v>
      </c>
      <c r="Q149" s="11">
        <f t="shared" si="81"/>
        <v>0</v>
      </c>
      <c r="R149" s="11">
        <f t="shared" si="81"/>
        <v>0</v>
      </c>
      <c r="S149" s="11">
        <f t="shared" si="81"/>
        <v>0</v>
      </c>
      <c r="T149" s="11">
        <f t="shared" si="81"/>
        <v>0</v>
      </c>
      <c r="U149" s="11">
        <f t="shared" si="81"/>
        <v>0</v>
      </c>
      <c r="V149" s="11">
        <f t="shared" si="81"/>
        <v>0</v>
      </c>
      <c r="W149" s="11">
        <f t="shared" si="81"/>
        <v>0</v>
      </c>
      <c r="X149" s="11">
        <f t="shared" si="81"/>
        <v>0</v>
      </c>
      <c r="Y149" s="11">
        <f t="shared" si="81"/>
        <v>0</v>
      </c>
      <c r="Z149" s="11">
        <f t="shared" si="81"/>
        <v>0</v>
      </c>
      <c r="AA149" s="11">
        <f t="shared" si="81"/>
        <v>0</v>
      </c>
      <c r="AB149" s="11">
        <f t="shared" si="81"/>
        <v>0</v>
      </c>
      <c r="AC149" s="11">
        <f t="shared" si="81"/>
        <v>0</v>
      </c>
      <c r="AD149" s="11">
        <f t="shared" si="81"/>
        <v>0</v>
      </c>
      <c r="AE149" s="11">
        <f t="shared" si="81"/>
        <v>0</v>
      </c>
      <c r="AF149" s="11">
        <f t="shared" si="81"/>
        <v>0</v>
      </c>
    </row>
    <row r="150" spans="2:32" outlineLevel="1">
      <c r="B150" s="4" t="str">
        <f t="shared" si="75"/>
        <v>Corporativo</v>
      </c>
      <c r="C150" s="4"/>
      <c r="D150" s="4"/>
      <c r="E150" s="4"/>
      <c r="F150" s="4"/>
      <c r="G150" s="4"/>
      <c r="H150" s="4"/>
      <c r="J150" s="11">
        <f>+IF(ISERROR(J139/(J$19+J$37)),0,J139/(J$19+J$37))</f>
        <v>0</v>
      </c>
      <c r="K150" s="11">
        <f>+IF(ISERROR(K139/(K$19+K$37)),0,K139/(K$19+K$37))</f>
        <v>-3.6266452648475118</v>
      </c>
      <c r="L150" s="11">
        <f t="shared" ref="L150:AF150" si="82">+IF(ISERROR(L139/(L$19+L$37)),0,L139/(L$19+L$37))</f>
        <v>-3.9662851871444249</v>
      </c>
      <c r="M150" s="11">
        <f t="shared" si="82"/>
        <v>-4.1127440803167739</v>
      </c>
      <c r="N150" s="11">
        <f t="shared" si="82"/>
        <v>-3.0566535604469363</v>
      </c>
      <c r="O150" s="11">
        <f t="shared" si="82"/>
        <v>-2.3841246112487506</v>
      </c>
      <c r="P150" s="11">
        <f t="shared" si="82"/>
        <v>-3.045647094704631</v>
      </c>
      <c r="Q150" s="11">
        <f t="shared" si="82"/>
        <v>-1.9718340627770921</v>
      </c>
      <c r="R150" s="11">
        <f t="shared" si="82"/>
        <v>-1.2944884371439038</v>
      </c>
      <c r="S150" s="11">
        <f t="shared" si="82"/>
        <v>-1.1389339353334735</v>
      </c>
      <c r="T150" s="11">
        <f t="shared" si="82"/>
        <v>-0.92506514302498244</v>
      </c>
      <c r="U150" s="11">
        <f t="shared" si="82"/>
        <v>-0.85496089776126849</v>
      </c>
      <c r="V150" s="11">
        <f t="shared" si="82"/>
        <v>-0.78858887416073331</v>
      </c>
      <c r="W150" s="11">
        <f t="shared" si="82"/>
        <v>-0.72606120740771252</v>
      </c>
      <c r="X150" s="11">
        <f t="shared" si="82"/>
        <v>-0.72723696643656344</v>
      </c>
      <c r="Y150" s="11">
        <f t="shared" si="82"/>
        <v>-0.87261215720756979</v>
      </c>
      <c r="Z150" s="11">
        <f t="shared" si="82"/>
        <v>-0.93316700250655871</v>
      </c>
      <c r="AA150" s="11">
        <f t="shared" si="82"/>
        <v>-0.97027974721064847</v>
      </c>
      <c r="AB150" s="11">
        <f t="shared" si="82"/>
        <v>-0.98330705270483199</v>
      </c>
      <c r="AC150" s="11">
        <f t="shared" si="82"/>
        <v>-1.0891322109764439</v>
      </c>
      <c r="AD150" s="11">
        <f t="shared" si="82"/>
        <v>-0.85410384643301573</v>
      </c>
      <c r="AE150" s="11">
        <f t="shared" si="82"/>
        <v>-1.0123129262615633</v>
      </c>
      <c r="AF150" s="11">
        <f t="shared" si="82"/>
        <v>-1.0075266614731466</v>
      </c>
    </row>
    <row r="151" spans="2:32" outlineLevel="1">
      <c r="B151" s="4" t="str">
        <f t="shared" si="75"/>
        <v>Recuperaciones</v>
      </c>
      <c r="C151" s="4"/>
      <c r="D151" s="4"/>
      <c r="E151" s="4"/>
      <c r="F151" s="4"/>
      <c r="G151" s="4"/>
      <c r="H151" s="4"/>
      <c r="J151" s="11">
        <f>+IF(ISERROR(J140/(J$20)),0,J140/(J$20))</f>
        <v>0</v>
      </c>
      <c r="K151" s="11">
        <f>+IF(ISERROR(K140/(K$20)),0,K140/(K$20))</f>
        <v>0.99055232558139539</v>
      </c>
      <c r="L151" s="11">
        <f t="shared" ref="L151:AF151" si="83">+IF(ISERROR(L140/(L$20)),0,L140/(L$20))</f>
        <v>0</v>
      </c>
      <c r="M151" s="11">
        <f t="shared" si="83"/>
        <v>0</v>
      </c>
      <c r="N151" s="11">
        <f t="shared" si="83"/>
        <v>0</v>
      </c>
      <c r="O151" s="11">
        <f t="shared" si="83"/>
        <v>0</v>
      </c>
      <c r="P151" s="11">
        <f t="shared" si="83"/>
        <v>0</v>
      </c>
      <c r="Q151" s="11">
        <f t="shared" si="83"/>
        <v>0</v>
      </c>
      <c r="R151" s="11">
        <f t="shared" si="83"/>
        <v>0</v>
      </c>
      <c r="S151" s="11">
        <f t="shared" si="83"/>
        <v>0</v>
      </c>
      <c r="T151" s="11">
        <f t="shared" si="83"/>
        <v>0</v>
      </c>
      <c r="U151" s="11">
        <f t="shared" si="83"/>
        <v>0</v>
      </c>
      <c r="V151" s="11">
        <f t="shared" si="83"/>
        <v>0</v>
      </c>
      <c r="W151" s="11">
        <f t="shared" si="83"/>
        <v>0</v>
      </c>
      <c r="X151" s="11">
        <f t="shared" si="83"/>
        <v>0</v>
      </c>
      <c r="Y151" s="11">
        <f t="shared" si="83"/>
        <v>0</v>
      </c>
      <c r="Z151" s="11">
        <f t="shared" si="83"/>
        <v>0</v>
      </c>
      <c r="AA151" s="11">
        <f t="shared" si="83"/>
        <v>0</v>
      </c>
      <c r="AB151" s="11">
        <f t="shared" si="83"/>
        <v>0</v>
      </c>
      <c r="AC151" s="11">
        <f t="shared" si="83"/>
        <v>0</v>
      </c>
      <c r="AD151" s="11">
        <f t="shared" si="83"/>
        <v>0</v>
      </c>
      <c r="AE151" s="11">
        <f t="shared" si="83"/>
        <v>0</v>
      </c>
      <c r="AF151" s="11">
        <f t="shared" si="83"/>
        <v>0</v>
      </c>
    </row>
    <row r="152" spans="2:32">
      <c r="B152" s="10"/>
      <c r="C152" s="10"/>
      <c r="D152" s="10"/>
      <c r="E152" s="10"/>
      <c r="F152" s="10"/>
      <c r="G152" s="10"/>
      <c r="H152" s="10"/>
    </row>
    <row r="153" spans="2:32">
      <c r="B153" s="4"/>
      <c r="C153" s="4"/>
      <c r="D153" s="4"/>
      <c r="E153" s="4"/>
      <c r="F153" s="4"/>
      <c r="G153" s="4"/>
      <c r="H153" s="4"/>
    </row>
    <row r="154" spans="2:32">
      <c r="B154" s="90" t="s">
        <v>255</v>
      </c>
      <c r="C154" s="90"/>
      <c r="D154" s="90"/>
      <c r="E154" s="90"/>
      <c r="F154" s="90"/>
      <c r="G154" s="90"/>
      <c r="H154" s="90"/>
      <c r="I154" s="90"/>
      <c r="J154" s="90"/>
      <c r="K154" s="117"/>
      <c r="L154" s="92">
        <f>+'Flujo Caja'!F74*int_equiv</f>
        <v>0</v>
      </c>
      <c r="M154" s="92">
        <f>+'Flujo Caja'!$A$120*'Flujo Caja'!G117</f>
        <v>9841.8135331808553</v>
      </c>
      <c r="N154" s="92">
        <f>+'Flujo Caja'!$A$120*'Flujo Caja'!H117</f>
        <v>8223.7722195987717</v>
      </c>
      <c r="O154" s="92">
        <f>+'Flujo Caja'!$A$120*'Flujo Caja'!I117</f>
        <v>6504.6223186234438</v>
      </c>
      <c r="P154" s="92">
        <f>+'Flujo Caja'!$A$120*'Flujo Caja'!J117</f>
        <v>6504.6223186234438</v>
      </c>
      <c r="Q154" s="92">
        <f>+'Flujo Caja'!$A$120*'Flujo Caja'!K117</f>
        <v>6236.0584289898516</v>
      </c>
      <c r="R154" s="92">
        <f>+'Flujo Caja'!$A$120*'Flujo Caja'!L117</f>
        <v>6135.3469703772544</v>
      </c>
      <c r="S154" s="92">
        <f>+'Flujo Caja'!$A$120*'Flujo Caja'!M117</f>
        <v>5463.9372462932733</v>
      </c>
      <c r="T154" s="92">
        <f>+'Flujo Caja'!$A$120*'Flujo Caja'!N117</f>
        <v>4523.9636325757001</v>
      </c>
      <c r="U154" s="92">
        <f>+'Flujo Caja'!$A$120*'Flujo Caja'!O117</f>
        <v>3747.5454276449846</v>
      </c>
      <c r="V154" s="92">
        <f>+'Flujo Caja'!$A$120*'Flujo Caja'!P117</f>
        <v>3243.988134581999</v>
      </c>
      <c r="W154" s="92">
        <f>+'Flujo Caja'!$A$120*'Flujo Caja'!Q117</f>
        <v>2274.875338839181</v>
      </c>
      <c r="X154" s="92">
        <f>+'Flujo Caja'!$A$120*'Flujo Caja'!R117</f>
        <v>932.05589067121889</v>
      </c>
      <c r="Y154" s="92">
        <f>+'Flujo Caja'!$A$120*'Flujo Caja'!S117</f>
        <v>0</v>
      </c>
      <c r="Z154" s="92">
        <f>+'Flujo Caja'!$A$120*'Flujo Caja'!T117</f>
        <v>0</v>
      </c>
      <c r="AA154" s="92">
        <f>+'Flujo Caja'!$A$120*'Flujo Caja'!U117</f>
        <v>0</v>
      </c>
      <c r="AB154" s="92">
        <f>+'Flujo Caja'!$A$120*'Flujo Caja'!V117</f>
        <v>0</v>
      </c>
      <c r="AC154" s="92">
        <f>+'Flujo Caja'!$A$120*'Flujo Caja'!W117</f>
        <v>0</v>
      </c>
      <c r="AD154" s="92">
        <f>+'Flujo Caja'!$A$120*'Flujo Caja'!X117</f>
        <v>0</v>
      </c>
      <c r="AE154" s="92">
        <f>+'Flujo Caja'!$A$120*'Flujo Caja'!Y117</f>
        <v>0</v>
      </c>
      <c r="AF154" s="92">
        <f>+'Flujo Caja'!$A$120*'Flujo Caja'!Z117</f>
        <v>0</v>
      </c>
    </row>
    <row r="156" spans="2:32">
      <c r="B156" s="86" t="s">
        <v>29</v>
      </c>
      <c r="C156" s="86"/>
      <c r="D156" s="86"/>
      <c r="E156" s="86"/>
      <c r="F156" s="86"/>
      <c r="G156" s="86"/>
      <c r="H156" s="86"/>
      <c r="I156" s="86"/>
      <c r="J156" s="121">
        <f>+J132+J154</f>
        <v>0</v>
      </c>
      <c r="K156" s="124">
        <f>+K132+K154</f>
        <v>459</v>
      </c>
      <c r="L156" s="124">
        <f t="shared" ref="L156:AF156" si="84">+L132-L154</f>
        <v>576.17145620247902</v>
      </c>
      <c r="M156" s="124">
        <f t="shared" si="84"/>
        <v>-18694.471926543116</v>
      </c>
      <c r="N156" s="124">
        <f t="shared" si="84"/>
        <v>-12582.612344968848</v>
      </c>
      <c r="O156" s="124">
        <f t="shared" si="84"/>
        <v>-823.2222129145066</v>
      </c>
      <c r="P156" s="124">
        <f>+P132-P154</f>
        <v>3398.1441228700223</v>
      </c>
      <c r="Q156" s="124">
        <f t="shared" si="84"/>
        <v>12958.297333923041</v>
      </c>
      <c r="R156" s="124">
        <f t="shared" si="84"/>
        <v>19733.265274225287</v>
      </c>
      <c r="S156" s="124">
        <f t="shared" si="84"/>
        <v>24150.673530288052</v>
      </c>
      <c r="T156" s="124">
        <f t="shared" si="84"/>
        <v>30600.73185215702</v>
      </c>
      <c r="U156" s="124">
        <f t="shared" si="84"/>
        <v>35221.53364725643</v>
      </c>
      <c r="V156" s="124">
        <f t="shared" si="84"/>
        <v>39769.494970878754</v>
      </c>
      <c r="W156" s="124">
        <f t="shared" si="84"/>
        <v>44360.981371167698</v>
      </c>
      <c r="X156" s="124">
        <f t="shared" si="84"/>
        <v>47948.476164842192</v>
      </c>
      <c r="Y156" s="124">
        <f t="shared" si="84"/>
        <v>47456.793212603123</v>
      </c>
      <c r="Z156" s="124">
        <f t="shared" si="84"/>
        <v>49691.347803928446</v>
      </c>
      <c r="AA156" s="124">
        <f t="shared" si="84"/>
        <v>52639.805656306082</v>
      </c>
      <c r="AB156" s="124">
        <f t="shared" si="84"/>
        <v>56196.672851045936</v>
      </c>
      <c r="AC156" s="124">
        <f t="shared" si="84"/>
        <v>56792.328296962711</v>
      </c>
      <c r="AD156" s="124">
        <f t="shared" si="84"/>
        <v>65864.654709706694</v>
      </c>
      <c r="AE156" s="124">
        <f t="shared" si="84"/>
        <v>64400.134641406774</v>
      </c>
      <c r="AF156" s="124">
        <f t="shared" si="84"/>
        <v>69318.332062228437</v>
      </c>
    </row>
    <row r="157" spans="2:32"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</row>
    <row r="158" spans="2:32">
      <c r="B158" s="90" t="s">
        <v>26</v>
      </c>
      <c r="C158" s="90"/>
      <c r="D158" s="90"/>
      <c r="E158" s="90"/>
      <c r="F158" s="90"/>
      <c r="G158" s="90"/>
      <c r="H158" s="123">
        <f>+Proyecciones!C35</f>
        <v>0.33</v>
      </c>
      <c r="I158" s="90"/>
      <c r="J158" s="90"/>
      <c r="K158" s="117"/>
      <c r="L158" s="117">
        <v>0</v>
      </c>
      <c r="M158" s="117">
        <f>+IF(SUM($L$156:M156)&lt;=0,0,SUM($L$156:M156)*renta-SUM($L$158:L158))</f>
        <v>0</v>
      </c>
      <c r="N158" s="117">
        <f>+IF(SUM($L$156:N156)&lt;=0,0,SUM($L$156:N156)*renta-SUM($L$158:M158))</f>
        <v>0</v>
      </c>
      <c r="O158" s="117">
        <f>+IF(SUM($L$156:O156)&lt;=0,0,SUM($L$156:O156)*renta-SUM($L$158:N158))</f>
        <v>0</v>
      </c>
      <c r="P158" s="117">
        <f>+IF(SUM($L$156:P156)&lt;=0,0,SUM($L$156:P156)*renta-SUM($L$158:O158))</f>
        <v>0</v>
      </c>
      <c r="Q158" s="117">
        <f>+IF(SUM($L$156:Q156)&lt;=0,0,SUM($L$156:Q156)*renta-SUM($L$158:P158))</f>
        <v>0</v>
      </c>
      <c r="R158" s="117">
        <f>+IF(SUM($L$156:R156)&lt;=0,0,SUM($L$156:R156)*renta-SUM($L$158:Q158))</f>
        <v>1506.6386619221369</v>
      </c>
      <c r="S158" s="117">
        <f>+IF(SUM($L$156:S156)&lt;=0,0,SUM($L$156:S156)*renta-SUM($L$158:R158))</f>
        <v>7969.7222649950572</v>
      </c>
      <c r="T158" s="117">
        <f>+IF(SUM($L$156:T156)&lt;=0,0,SUM($L$156:T156)*renta-SUM($L$158:S158))</f>
        <v>10098.241511211818</v>
      </c>
      <c r="U158" s="117">
        <f>+IF(SUM($L$156:U156)&lt;=0,0,SUM($L$156:U156)*renta-SUM($L$158:T158))</f>
        <v>11623.106103594626</v>
      </c>
      <c r="V158" s="117">
        <f>+IF(SUM($L$156:V156)&lt;=0,0,SUM($L$156:V156)*renta-SUM($L$158:U158))</f>
        <v>13123.933340389995</v>
      </c>
      <c r="W158" s="117">
        <f>+IF(SUM($L$156:W156)&lt;=0,0,SUM($L$156:W156)*renta-SUM($L$158:V158))</f>
        <v>14639.12385248534</v>
      </c>
      <c r="X158" s="117">
        <f>+IF(SUM($L$156:X156)&lt;=0,0,SUM($L$156:X156)*renta-SUM($L$158:W158))</f>
        <v>15822.997134397927</v>
      </c>
      <c r="Y158" s="117">
        <f>+IF(SUM($L$156:Y156)&lt;=0,0,SUM($L$156:Y156)*renta-SUM($L$158:X158))</f>
        <v>15660.741760159028</v>
      </c>
      <c r="Z158" s="117">
        <f>+IF(SUM($L$156:Z156)&lt;=0,0,SUM($L$156:Z156)*renta-SUM($L$158:Y158))</f>
        <v>16398.144775296387</v>
      </c>
      <c r="AA158" s="117">
        <f>+IF(SUM($L$156:AA156)&lt;=0,0,SUM($L$156:AA156)*renta-SUM($L$158:Z158))</f>
        <v>17371.135866581011</v>
      </c>
      <c r="AB158" s="117">
        <f>+IF(SUM($L$156:AB156)&lt;=0,0,SUM($L$156:AB156)*renta-SUM($L$158:AA158))</f>
        <v>18544.902040845162</v>
      </c>
      <c r="AC158" s="117">
        <f>+IF(SUM($L$156:AC156)&lt;=0,0,SUM($L$156:AC156)*renta-SUM($L$158:AB158))</f>
        <v>18741.468337997707</v>
      </c>
      <c r="AD158" s="117">
        <f>+IF(SUM($L$156:AD156)&lt;=0,0,SUM($L$156:AD156)*renta-SUM($L$158:AC158))</f>
        <v>21735.336054203217</v>
      </c>
      <c r="AE158" s="117">
        <f>+IF(SUM($L$156:AE156)&lt;=0,0,SUM($L$156:AE156)*renta-SUM($L$158:AD158))</f>
        <v>21252.044431664253</v>
      </c>
      <c r="AF158" s="117">
        <f>+IF(SUM($L$156:AF156)&lt;=0,0,SUM($L$156:AF156)*renta-SUM($L$158:AE158))</f>
        <v>22875.049580535386</v>
      </c>
    </row>
    <row r="159" spans="2:32">
      <c r="K159" s="38"/>
      <c r="L159" s="55">
        <f>+L158/L156</f>
        <v>0</v>
      </c>
      <c r="M159" s="55">
        <f>+M158/M156</f>
        <v>0</v>
      </c>
      <c r="N159" s="55">
        <f>+N158/N156</f>
        <v>0</v>
      </c>
      <c r="O159" s="55">
        <f>+O158/O156</f>
        <v>0</v>
      </c>
      <c r="P159" s="55">
        <f>+P158/P156</f>
        <v>0</v>
      </c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</row>
    <row r="160" spans="2:32">
      <c r="B160" s="86" t="s">
        <v>30</v>
      </c>
      <c r="C160" s="86"/>
      <c r="D160" s="86"/>
      <c r="E160" s="86"/>
      <c r="F160" s="86"/>
      <c r="G160" s="86"/>
      <c r="H160" s="86"/>
      <c r="I160" s="86"/>
      <c r="J160" s="121">
        <f t="shared" ref="J160:AF160" si="85">+J156-J158</f>
        <v>0</v>
      </c>
      <c r="K160" s="124">
        <f t="shared" si="85"/>
        <v>459</v>
      </c>
      <c r="L160" s="124">
        <f t="shared" si="85"/>
        <v>576.17145620247902</v>
      </c>
      <c r="M160" s="124">
        <f t="shared" si="85"/>
        <v>-18694.471926543116</v>
      </c>
      <c r="N160" s="124">
        <f t="shared" si="85"/>
        <v>-12582.612344968848</v>
      </c>
      <c r="O160" s="124">
        <f t="shared" si="85"/>
        <v>-823.2222129145066</v>
      </c>
      <c r="P160" s="124">
        <f t="shared" si="85"/>
        <v>3398.1441228700223</v>
      </c>
      <c r="Q160" s="124">
        <f t="shared" si="85"/>
        <v>12958.297333923041</v>
      </c>
      <c r="R160" s="124">
        <f>+R156-R158</f>
        <v>18226.626612303149</v>
      </c>
      <c r="S160" s="124">
        <f t="shared" si="85"/>
        <v>16180.951265292995</v>
      </c>
      <c r="T160" s="124">
        <f t="shared" si="85"/>
        <v>20502.490340945202</v>
      </c>
      <c r="U160" s="124">
        <f t="shared" si="85"/>
        <v>23598.427543661805</v>
      </c>
      <c r="V160" s="124">
        <f t="shared" si="85"/>
        <v>26645.561630488759</v>
      </c>
      <c r="W160" s="124">
        <f t="shared" si="85"/>
        <v>29721.857518682358</v>
      </c>
      <c r="X160" s="124">
        <f t="shared" si="85"/>
        <v>32125.479030444265</v>
      </c>
      <c r="Y160" s="124">
        <f t="shared" si="85"/>
        <v>31796.051452444095</v>
      </c>
      <c r="Z160" s="124">
        <f t="shared" si="85"/>
        <v>33293.203028632059</v>
      </c>
      <c r="AA160" s="124">
        <f t="shared" si="85"/>
        <v>35268.669789725071</v>
      </c>
      <c r="AB160" s="124">
        <f t="shared" si="85"/>
        <v>37651.770810200775</v>
      </c>
      <c r="AC160" s="124">
        <f t="shared" si="85"/>
        <v>38050.859958965004</v>
      </c>
      <c r="AD160" s="124">
        <f t="shared" si="85"/>
        <v>44129.318655503477</v>
      </c>
      <c r="AE160" s="124">
        <f t="shared" si="85"/>
        <v>43148.090209742521</v>
      </c>
      <c r="AF160" s="124">
        <f t="shared" si="85"/>
        <v>46443.282481693052</v>
      </c>
    </row>
    <row r="161" spans="2:32">
      <c r="B161" s="84" t="s">
        <v>31</v>
      </c>
      <c r="C161" s="84"/>
      <c r="D161" s="84"/>
      <c r="E161" s="84"/>
      <c r="F161" s="84"/>
      <c r="G161" s="84"/>
      <c r="H161" s="84"/>
      <c r="I161" s="84"/>
      <c r="J161" s="122"/>
      <c r="K161" s="89">
        <f>+K160</f>
        <v>459</v>
      </c>
      <c r="L161" s="89">
        <f t="shared" ref="L161:AF161" si="86">+L160</f>
        <v>576.17145620247902</v>
      </c>
      <c r="M161" s="89">
        <f t="shared" si="86"/>
        <v>-18694.471926543116</v>
      </c>
      <c r="N161" s="89">
        <f t="shared" si="86"/>
        <v>-12582.612344968848</v>
      </c>
      <c r="O161" s="89">
        <f t="shared" si="86"/>
        <v>-823.2222129145066</v>
      </c>
      <c r="P161" s="89">
        <f t="shared" si="86"/>
        <v>3398.1441228700223</v>
      </c>
      <c r="Q161" s="89">
        <f t="shared" si="86"/>
        <v>12958.297333923041</v>
      </c>
      <c r="R161" s="89">
        <f t="shared" si="86"/>
        <v>18226.626612303149</v>
      </c>
      <c r="S161" s="89">
        <f t="shared" si="86"/>
        <v>16180.951265292995</v>
      </c>
      <c r="T161" s="89">
        <f t="shared" si="86"/>
        <v>20502.490340945202</v>
      </c>
      <c r="U161" s="89">
        <f t="shared" si="86"/>
        <v>23598.427543661805</v>
      </c>
      <c r="V161" s="89">
        <f t="shared" si="86"/>
        <v>26645.561630488759</v>
      </c>
      <c r="W161" s="89">
        <f t="shared" si="86"/>
        <v>29721.857518682358</v>
      </c>
      <c r="X161" s="89">
        <f t="shared" si="86"/>
        <v>32125.479030444265</v>
      </c>
      <c r="Y161" s="89">
        <f t="shared" si="86"/>
        <v>31796.051452444095</v>
      </c>
      <c r="Z161" s="89">
        <f t="shared" si="86"/>
        <v>33293.203028632059</v>
      </c>
      <c r="AA161" s="89">
        <f t="shared" si="86"/>
        <v>35268.669789725071</v>
      </c>
      <c r="AB161" s="89">
        <f t="shared" si="86"/>
        <v>37651.770810200775</v>
      </c>
      <c r="AC161" s="89">
        <f t="shared" si="86"/>
        <v>38050.859958965004</v>
      </c>
      <c r="AD161" s="89">
        <f t="shared" si="86"/>
        <v>44129.318655503477</v>
      </c>
      <c r="AE161" s="89">
        <f t="shared" si="86"/>
        <v>43148.090209742521</v>
      </c>
      <c r="AF161" s="89">
        <f t="shared" si="86"/>
        <v>46443.282481693052</v>
      </c>
    </row>
    <row r="163" spans="2:32">
      <c r="B163" s="86" t="s">
        <v>33</v>
      </c>
      <c r="C163" s="86"/>
      <c r="D163" s="86"/>
      <c r="E163" s="86"/>
      <c r="F163" s="86"/>
      <c r="G163" s="86"/>
      <c r="H163" s="86"/>
      <c r="I163" s="86"/>
      <c r="J163" s="95">
        <f t="shared" ref="J163:AF163" si="87">+IF(ISERROR(J160/J5),0,J160/J5)</f>
        <v>0</v>
      </c>
      <c r="K163" s="95">
        <f t="shared" si="87"/>
        <v>2.2139580650295918E-3</v>
      </c>
      <c r="L163" s="95">
        <f t="shared" si="87"/>
        <v>2.7802027251054165E-3</v>
      </c>
      <c r="M163" s="95">
        <f t="shared" si="87"/>
        <v>-0.12110632210174399</v>
      </c>
      <c r="N163" s="95">
        <f t="shared" si="87"/>
        <v>-6.085004412092692E-2</v>
      </c>
      <c r="O163" s="95">
        <f t="shared" si="87"/>
        <v>-2.8780389712968067E-3</v>
      </c>
      <c r="P163" s="95">
        <f t="shared" si="87"/>
        <v>9.9833177786539697E-3</v>
      </c>
      <c r="Q163" s="95">
        <f t="shared" si="87"/>
        <v>2.9670750100892509E-2</v>
      </c>
      <c r="R163" s="95">
        <f t="shared" si="87"/>
        <v>3.6508881710153748E-2</v>
      </c>
      <c r="S163" s="95">
        <f t="shared" si="87"/>
        <v>2.9683652030053014E-2</v>
      </c>
      <c r="T163" s="95">
        <f t="shared" si="87"/>
        <v>3.3946776947601301E-2</v>
      </c>
      <c r="U163" s="95">
        <f t="shared" si="87"/>
        <v>3.6098336459261977E-2</v>
      </c>
      <c r="V163" s="95">
        <f t="shared" si="87"/>
        <v>3.7736028049705925E-2</v>
      </c>
      <c r="W163" s="95">
        <f t="shared" si="87"/>
        <v>3.9587026869216814E-2</v>
      </c>
      <c r="X163" s="95">
        <f t="shared" si="87"/>
        <v>4.0508013024980409E-2</v>
      </c>
      <c r="Y163" s="95">
        <f t="shared" si="87"/>
        <v>3.9076718876969438E-2</v>
      </c>
      <c r="Z163" s="95">
        <f t="shared" si="87"/>
        <v>3.8585017447054726E-2</v>
      </c>
      <c r="AA163" s="95">
        <f t="shared" si="87"/>
        <v>3.8382764919433016E-2</v>
      </c>
      <c r="AB163" s="95">
        <f t="shared" si="87"/>
        <v>3.8386974407618527E-2</v>
      </c>
      <c r="AC163" s="95">
        <f t="shared" si="87"/>
        <v>3.7416577692080434E-2</v>
      </c>
      <c r="AD163" s="95">
        <f t="shared" si="87"/>
        <v>3.958063541014032E-2</v>
      </c>
      <c r="AE163" s="95">
        <f t="shared" si="87"/>
        <v>3.7546959644545436E-2</v>
      </c>
      <c r="AF163" s="95">
        <f t="shared" si="87"/>
        <v>3.8063340555418282E-2</v>
      </c>
    </row>
    <row r="164" spans="2:32">
      <c r="B164" s="84" t="s">
        <v>32</v>
      </c>
      <c r="C164" s="84"/>
      <c r="D164" s="84"/>
      <c r="E164" s="84"/>
      <c r="F164" s="84"/>
      <c r="G164" s="84"/>
      <c r="H164" s="84"/>
      <c r="I164" s="84"/>
      <c r="J164" s="96">
        <f t="shared" ref="J164:AF164" si="88">+IF(ISERROR(J161/J5),0,J161/J5)</f>
        <v>0</v>
      </c>
      <c r="K164" s="96">
        <f t="shared" si="88"/>
        <v>2.2139580650295918E-3</v>
      </c>
      <c r="L164" s="96">
        <f t="shared" si="88"/>
        <v>2.7802027251054165E-3</v>
      </c>
      <c r="M164" s="96">
        <f t="shared" si="88"/>
        <v>-0.12110632210174399</v>
      </c>
      <c r="N164" s="96">
        <f t="shared" si="88"/>
        <v>-6.085004412092692E-2</v>
      </c>
      <c r="O164" s="96">
        <f t="shared" si="88"/>
        <v>-2.8780389712968067E-3</v>
      </c>
      <c r="P164" s="96">
        <f t="shared" si="88"/>
        <v>9.9833177786539697E-3</v>
      </c>
      <c r="Q164" s="96">
        <f t="shared" si="88"/>
        <v>2.9670750100892509E-2</v>
      </c>
      <c r="R164" s="96">
        <f t="shared" si="88"/>
        <v>3.6508881710153748E-2</v>
      </c>
      <c r="S164" s="96">
        <f t="shared" si="88"/>
        <v>2.9683652030053014E-2</v>
      </c>
      <c r="T164" s="96">
        <f t="shared" si="88"/>
        <v>3.3946776947601301E-2</v>
      </c>
      <c r="U164" s="96">
        <f t="shared" si="88"/>
        <v>3.6098336459261977E-2</v>
      </c>
      <c r="V164" s="96">
        <f t="shared" si="88"/>
        <v>3.7736028049705925E-2</v>
      </c>
      <c r="W164" s="96">
        <f t="shared" si="88"/>
        <v>3.9587026869216814E-2</v>
      </c>
      <c r="X164" s="96">
        <f t="shared" si="88"/>
        <v>4.0508013024980409E-2</v>
      </c>
      <c r="Y164" s="96">
        <f t="shared" si="88"/>
        <v>3.9076718876969438E-2</v>
      </c>
      <c r="Z164" s="96">
        <f t="shared" si="88"/>
        <v>3.8585017447054726E-2</v>
      </c>
      <c r="AA164" s="96">
        <f t="shared" si="88"/>
        <v>3.8382764919433016E-2</v>
      </c>
      <c r="AB164" s="96">
        <f t="shared" si="88"/>
        <v>3.8386974407618527E-2</v>
      </c>
      <c r="AC164" s="96">
        <f t="shared" si="88"/>
        <v>3.7416577692080434E-2</v>
      </c>
      <c r="AD164" s="96">
        <f t="shared" si="88"/>
        <v>3.958063541014032E-2</v>
      </c>
      <c r="AE164" s="96">
        <f t="shared" si="88"/>
        <v>3.7546959644545436E-2</v>
      </c>
      <c r="AF164" s="96">
        <f t="shared" si="88"/>
        <v>3.8063340555418282E-2</v>
      </c>
    </row>
    <row r="165" spans="2:32">
      <c r="B165" s="148" t="s">
        <v>319</v>
      </c>
      <c r="C165" s="148"/>
      <c r="D165" s="148"/>
      <c r="E165" s="148"/>
      <c r="F165" s="148"/>
      <c r="G165" s="148"/>
      <c r="K165" s="149">
        <v>0.6</v>
      </c>
      <c r="L165" s="149">
        <f>+L161/1000+K165</f>
        <v>1.176171456202479</v>
      </c>
      <c r="M165" s="149">
        <f t="shared" ref="M165:AF165" si="89">+M161/1000+L165</f>
        <v>-17.518300470340638</v>
      </c>
      <c r="N165" s="149">
        <f t="shared" si="89"/>
        <v>-30.100912815309485</v>
      </c>
      <c r="O165" s="149">
        <f t="shared" si="89"/>
        <v>-30.92413502822399</v>
      </c>
      <c r="P165" s="149">
        <f t="shared" si="89"/>
        <v>-27.525990905353968</v>
      </c>
      <c r="Q165" s="149">
        <f t="shared" si="89"/>
        <v>-14.567693571430928</v>
      </c>
      <c r="R165" s="149">
        <f t="shared" si="89"/>
        <v>3.6589330408722223</v>
      </c>
      <c r="S165" s="149">
        <f t="shared" si="89"/>
        <v>19.839884306165217</v>
      </c>
      <c r="T165" s="149">
        <f t="shared" si="89"/>
        <v>40.342374647110418</v>
      </c>
      <c r="U165" s="149">
        <f t="shared" si="89"/>
        <v>63.940802190772224</v>
      </c>
      <c r="V165" s="149">
        <f t="shared" si="89"/>
        <v>90.586363821260989</v>
      </c>
      <c r="W165" s="149">
        <f t="shared" si="89"/>
        <v>120.30822133994334</v>
      </c>
      <c r="X165" s="149">
        <f t="shared" si="89"/>
        <v>152.43370037038761</v>
      </c>
      <c r="Y165" s="149">
        <f t="shared" si="89"/>
        <v>184.2297518228317</v>
      </c>
      <c r="Z165" s="149">
        <f t="shared" si="89"/>
        <v>217.52295485146377</v>
      </c>
      <c r="AA165" s="149">
        <f t="shared" si="89"/>
        <v>252.79162464118883</v>
      </c>
      <c r="AB165" s="149">
        <f t="shared" si="89"/>
        <v>290.44339545138962</v>
      </c>
      <c r="AC165" s="149">
        <f t="shared" si="89"/>
        <v>328.49425541035464</v>
      </c>
      <c r="AD165" s="149">
        <f t="shared" si="89"/>
        <v>372.62357406585812</v>
      </c>
      <c r="AE165" s="149">
        <f t="shared" si="89"/>
        <v>415.77166427560064</v>
      </c>
      <c r="AF165" s="149">
        <f t="shared" si="89"/>
        <v>462.21494675729372</v>
      </c>
    </row>
    <row r="168" spans="2:32">
      <c r="B168" t="s">
        <v>181</v>
      </c>
      <c r="K168" s="11">
        <f t="shared" ref="K168:AF168" si="90">+K118/K5</f>
        <v>8.1993623414897673E-2</v>
      </c>
      <c r="L168" s="11">
        <f t="shared" si="90"/>
        <v>8.7930184648688778E-2</v>
      </c>
      <c r="M168" s="11">
        <f t="shared" si="90"/>
        <v>0.11802478663488968</v>
      </c>
      <c r="N168" s="11">
        <f t="shared" si="90"/>
        <v>9.04678382411193E-2</v>
      </c>
      <c r="O168" s="11">
        <f t="shared" si="90"/>
        <v>6.7813425534977739E-2</v>
      </c>
      <c r="P168" s="11">
        <f t="shared" si="90"/>
        <v>5.8466324072630443E-2</v>
      </c>
      <c r="Q168" s="11">
        <f t="shared" si="90"/>
        <v>4.7443645470654862E-2</v>
      </c>
      <c r="R168" s="11">
        <f t="shared" si="90"/>
        <v>4.4190078938380145E-2</v>
      </c>
      <c r="S168" s="11">
        <f t="shared" si="90"/>
        <v>4.2782471026959187E-2</v>
      </c>
      <c r="T168" s="11">
        <f t="shared" si="90"/>
        <v>4.0936971994721578E-2</v>
      </c>
      <c r="U168" s="11">
        <f t="shared" si="90"/>
        <v>3.9936085238698488E-2</v>
      </c>
      <c r="V168" s="11">
        <f t="shared" si="90"/>
        <v>3.9031520683956475E-2</v>
      </c>
      <c r="W168" s="11">
        <f t="shared" si="90"/>
        <v>3.8637220759276572E-2</v>
      </c>
      <c r="X168" s="11">
        <f t="shared" si="90"/>
        <v>3.8451630745956103E-2</v>
      </c>
      <c r="Y168" s="11">
        <f t="shared" si="90"/>
        <v>3.9175713441248095E-2</v>
      </c>
      <c r="Z168" s="11">
        <f t="shared" si="90"/>
        <v>3.8864179218624326E-2</v>
      </c>
      <c r="AA168" s="11">
        <f t="shared" si="90"/>
        <v>3.8424827109732045E-2</v>
      </c>
      <c r="AB168" s="11">
        <f t="shared" si="90"/>
        <v>3.7919206417373202E-2</v>
      </c>
      <c r="AC168" s="11">
        <f t="shared" si="90"/>
        <v>3.8306211170426603E-2</v>
      </c>
      <c r="AD168" s="11">
        <f t="shared" si="90"/>
        <v>3.700417946779639E-2</v>
      </c>
      <c r="AE168" s="11">
        <f t="shared" si="90"/>
        <v>3.7555952674564318E-2</v>
      </c>
      <c r="AF168" s="11">
        <f t="shared" si="90"/>
        <v>3.5807485540708159E-2</v>
      </c>
    </row>
    <row r="169" spans="2:32">
      <c r="B169" t="str">
        <f t="shared" ref="B169:B175" si="91">+B119</f>
        <v>Inmobiliario</v>
      </c>
      <c r="K169" s="11"/>
      <c r="L169" s="11">
        <f>+L119/L25</f>
        <v>0.1142521938390505</v>
      </c>
      <c r="M169" s="11">
        <f t="shared" ref="M169:AF169" si="92">+M119/M25</f>
        <v>0.14545302692525486</v>
      </c>
      <c r="N169" s="11">
        <f t="shared" si="92"/>
        <v>0.12128340430230906</v>
      </c>
      <c r="O169" s="11">
        <f t="shared" si="92"/>
        <v>5.7048395560184866E-2</v>
      </c>
      <c r="P169" s="11">
        <f t="shared" si="92"/>
        <v>6.8622768686986385E-2</v>
      </c>
      <c r="Q169" s="11">
        <f t="shared" si="92"/>
        <v>5.0227095199092374E-2</v>
      </c>
      <c r="R169" s="11">
        <f t="shared" si="92"/>
        <v>3.9896120218006162E-2</v>
      </c>
      <c r="S169" s="11">
        <f t="shared" si="92"/>
        <v>3.6950996789129442E-2</v>
      </c>
      <c r="T169" s="11">
        <f t="shared" si="92"/>
        <v>3.2901998296474527E-2</v>
      </c>
      <c r="U169" s="11">
        <f t="shared" si="92"/>
        <v>3.1356849341617053E-2</v>
      </c>
      <c r="V169" s="11">
        <f t="shared" si="92"/>
        <v>3.0091089402230774E-2</v>
      </c>
      <c r="W169" s="11">
        <f t="shared" si="92"/>
        <v>2.9108158914669929E-2</v>
      </c>
      <c r="X169" s="11">
        <f t="shared" si="92"/>
        <v>2.9741661356591773E-2</v>
      </c>
      <c r="Y169" s="11">
        <f t="shared" si="92"/>
        <v>3.3066413312549427E-2</v>
      </c>
      <c r="Z169" s="11">
        <f t="shared" si="92"/>
        <v>3.3382976000618354E-2</v>
      </c>
      <c r="AA169" s="11">
        <f t="shared" si="92"/>
        <v>3.3302990211487346E-2</v>
      </c>
      <c r="AB169" s="11">
        <f t="shared" si="92"/>
        <v>3.3017367459863368E-2</v>
      </c>
      <c r="AC169" s="11">
        <f t="shared" si="92"/>
        <v>3.4287473362569196E-2</v>
      </c>
      <c r="AD169" s="11">
        <f t="shared" si="92"/>
        <v>3.1499305824303991E-2</v>
      </c>
      <c r="AE169" s="11">
        <f t="shared" si="92"/>
        <v>3.5020540815013476E-2</v>
      </c>
      <c r="AF169" s="11">
        <f t="shared" si="92"/>
        <v>3.3672201356470713E-2</v>
      </c>
    </row>
    <row r="170" spans="2:32">
      <c r="B170" t="str">
        <f t="shared" si="91"/>
        <v>Arquitectura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</row>
    <row r="171" spans="2:32">
      <c r="B171" t="str">
        <f t="shared" si="91"/>
        <v>Preconstrucción</v>
      </c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</row>
    <row r="172" spans="2:32">
      <c r="B172" t="str">
        <f t="shared" si="91"/>
        <v>Construcción</v>
      </c>
      <c r="K172" s="11">
        <f t="shared" ref="K172:AF172" si="93">+K122/K10</f>
        <v>2.1995198117920042E-2</v>
      </c>
      <c r="L172" s="11">
        <f t="shared" si="93"/>
        <v>3.2692307692307694E-2</v>
      </c>
      <c r="M172" s="11">
        <f t="shared" si="93"/>
        <v>4.2500000000000003E-2</v>
      </c>
      <c r="N172" s="11">
        <f t="shared" si="93"/>
        <v>3.0508928571428572E-2</v>
      </c>
      <c r="O172" s="11">
        <f t="shared" si="93"/>
        <v>2.5250624999999999E-2</v>
      </c>
      <c r="P172" s="11">
        <f t="shared" si="93"/>
        <v>1.8357741622340423E-2</v>
      </c>
      <c r="Q172" s="11">
        <f t="shared" si="93"/>
        <v>1.4406990189593438E-2</v>
      </c>
      <c r="R172" s="11">
        <f t="shared" si="93"/>
        <v>1.4094495098271754E-2</v>
      </c>
      <c r="S172" s="11">
        <f t="shared" si="93"/>
        <v>1.3788778187598149E-2</v>
      </c>
      <c r="T172" s="11">
        <f t="shared" si="93"/>
        <v>1.3489692435317955E-2</v>
      </c>
      <c r="U172" s="11">
        <f t="shared" si="93"/>
        <v>1.3197094008165487E-2</v>
      </c>
      <c r="V172" s="11">
        <f t="shared" si="93"/>
        <v>1.2910842192693204E-2</v>
      </c>
      <c r="W172" s="11">
        <f t="shared" si="93"/>
        <v>1.2905925649588599E-2</v>
      </c>
      <c r="X172" s="11">
        <f t="shared" si="93"/>
        <v>1.26259894268672E-2</v>
      </c>
      <c r="Y172" s="11">
        <f t="shared" si="93"/>
        <v>1.2352125166042933E-2</v>
      </c>
      <c r="Z172" s="11">
        <f t="shared" si="93"/>
        <v>1.2084201163112216E-2</v>
      </c>
      <c r="AA172" s="11">
        <f t="shared" si="93"/>
        <v>1.1822088570799628E-2</v>
      </c>
      <c r="AB172" s="11">
        <f t="shared" si="93"/>
        <v>1.1565661336594001E-2</v>
      </c>
      <c r="AC172" s="11">
        <f t="shared" si="93"/>
        <v>1.1561257048194688E-2</v>
      </c>
      <c r="AD172" s="11">
        <f t="shared" si="93"/>
        <v>1.1310487385029462E-2</v>
      </c>
      <c r="AE172" s="11">
        <f t="shared" si="93"/>
        <v>1.1065157045953464E-2</v>
      </c>
      <c r="AF172" s="11">
        <f t="shared" si="93"/>
        <v>1.0309664808767015E-2</v>
      </c>
    </row>
    <row r="173" spans="2:32">
      <c r="B173" t="str">
        <f t="shared" si="91"/>
        <v>Equipos</v>
      </c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</row>
    <row r="174" spans="2:32">
      <c r="B174" t="str">
        <f t="shared" si="91"/>
        <v>Renta Activos</v>
      </c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</row>
    <row r="175" spans="2:32">
      <c r="B175" t="str">
        <f t="shared" si="91"/>
        <v>Corporativo</v>
      </c>
      <c r="K175" s="11">
        <f t="shared" ref="K175:AF175" si="94">+K126/K5</f>
        <v>4.232566889027161E-2</v>
      </c>
      <c r="L175" s="11">
        <f t="shared" si="94"/>
        <v>5.2382166336837725E-2</v>
      </c>
      <c r="M175" s="11">
        <f t="shared" si="94"/>
        <v>7.0325421403084482E-2</v>
      </c>
      <c r="N175" s="11">
        <f t="shared" si="94"/>
        <v>5.2761225253665181E-2</v>
      </c>
      <c r="O175" s="11">
        <f t="shared" si="94"/>
        <v>3.8332791189701808E-2</v>
      </c>
      <c r="P175" s="11">
        <f t="shared" si="94"/>
        <v>3.237352693772988E-2</v>
      </c>
      <c r="Q175" s="11">
        <f t="shared" si="94"/>
        <v>2.535733229849475E-2</v>
      </c>
      <c r="R175" s="11">
        <f t="shared" si="94"/>
        <v>2.3291878163249072E-2</v>
      </c>
      <c r="S175" s="11">
        <f t="shared" si="94"/>
        <v>2.23982896803923E-2</v>
      </c>
      <c r="T175" s="11">
        <f t="shared" si="94"/>
        <v>2.1226715787584255E-2</v>
      </c>
      <c r="U175" s="11">
        <f t="shared" si="94"/>
        <v>2.059132515744546E-2</v>
      </c>
      <c r="V175" s="11">
        <f t="shared" si="94"/>
        <v>2.0017082528116986E-2</v>
      </c>
      <c r="W175" s="11">
        <f t="shared" si="94"/>
        <v>1.9766770016638156E-2</v>
      </c>
      <c r="X175" s="11">
        <f t="shared" si="94"/>
        <v>1.9648952336664343E-2</v>
      </c>
      <c r="Y175" s="11">
        <f t="shared" si="94"/>
        <v>2.0108620083555337E-2</v>
      </c>
      <c r="Z175" s="11">
        <f t="shared" si="94"/>
        <v>1.9910849531760616E-2</v>
      </c>
      <c r="AA175" s="11">
        <f t="shared" si="94"/>
        <v>1.9631936646120004E-2</v>
      </c>
      <c r="AB175" s="11">
        <f t="shared" si="94"/>
        <v>1.9310954628528304E-2</v>
      </c>
      <c r="AC175" s="11">
        <f t="shared" si="94"/>
        <v>1.9556635963034478E-2</v>
      </c>
      <c r="AD175" s="11">
        <f t="shared" si="94"/>
        <v>1.8730070181225085E-2</v>
      </c>
      <c r="AE175" s="11">
        <f t="shared" si="94"/>
        <v>1.9080351093058719E-2</v>
      </c>
      <c r="AF175" s="11">
        <f t="shared" si="94"/>
        <v>1.7970375736433852E-2</v>
      </c>
    </row>
    <row r="176" spans="2:32">
      <c r="B176" t="str">
        <f>+B128</f>
        <v>Recuperaciones</v>
      </c>
    </row>
    <row r="177" spans="2:32">
      <c r="B177">
        <f>+B129</f>
        <v>0</v>
      </c>
    </row>
    <row r="178" spans="2:32">
      <c r="B178">
        <f>+B130</f>
        <v>0</v>
      </c>
    </row>
    <row r="180" spans="2:32">
      <c r="B180" t="s">
        <v>182</v>
      </c>
    </row>
    <row r="181" spans="2:32">
      <c r="B181" t="str">
        <f>+B169</f>
        <v>Inmobiliario</v>
      </c>
      <c r="M181" s="212">
        <f>+Proyecciones!H23</f>
        <v>0.02</v>
      </c>
      <c r="N181" s="212">
        <f>+Proyecciones!I23</f>
        <v>0.01</v>
      </c>
      <c r="O181" s="212">
        <f>+Proyecciones!J23</f>
        <v>0.01</v>
      </c>
      <c r="P181" s="212">
        <f>+Proyecciones!K23</f>
        <v>0.01</v>
      </c>
      <c r="Q181" s="212">
        <f>+Proyecciones!L23</f>
        <v>0.01</v>
      </c>
      <c r="R181" s="212">
        <f>+Proyecciones!M23</f>
        <v>0.05</v>
      </c>
      <c r="S181" s="212">
        <f>+Proyecciones!N23</f>
        <v>0.05</v>
      </c>
      <c r="T181" s="212">
        <f>+Proyecciones!O23</f>
        <v>0.05</v>
      </c>
      <c r="U181" s="212">
        <f>+Proyecciones!P23</f>
        <v>0.05</v>
      </c>
      <c r="V181" s="212">
        <f>+Proyecciones!Q23</f>
        <v>0.05</v>
      </c>
      <c r="W181" s="212">
        <f>+Proyecciones!R23</f>
        <v>0.05</v>
      </c>
      <c r="X181" s="212">
        <f>+Proyecciones!S23</f>
        <v>0.05</v>
      </c>
      <c r="Y181" s="212">
        <f>+Proyecciones!T23</f>
        <v>0.05</v>
      </c>
      <c r="Z181" s="212">
        <f>+Proyecciones!U23</f>
        <v>0.05</v>
      </c>
      <c r="AA181" s="212">
        <f>+Proyecciones!V23</f>
        <v>0.05</v>
      </c>
      <c r="AB181" s="212">
        <f>+Proyecciones!W23</f>
        <v>0.05</v>
      </c>
      <c r="AC181" s="212">
        <f>+Proyecciones!X23</f>
        <v>0.05</v>
      </c>
      <c r="AD181" s="212">
        <f>+Proyecciones!Y23</f>
        <v>0.05</v>
      </c>
      <c r="AE181" s="212">
        <f>+Proyecciones!Z23</f>
        <v>0.05</v>
      </c>
      <c r="AF181" s="212">
        <f>+Proyecciones!AA23</f>
        <v>0</v>
      </c>
    </row>
    <row r="182" spans="2:32">
      <c r="B182" t="str">
        <f t="shared" ref="B182:B189" si="95">+B170</f>
        <v>Arquitectura</v>
      </c>
      <c r="M182" s="212">
        <f>+Proyecciones!H24</f>
        <v>0</v>
      </c>
      <c r="N182" s="212">
        <f>+Proyecciones!I24</f>
        <v>0</v>
      </c>
      <c r="O182" s="212">
        <f>+Proyecciones!J24</f>
        <v>0</v>
      </c>
      <c r="P182" s="212">
        <f>+Proyecciones!K24</f>
        <v>0</v>
      </c>
      <c r="Q182" s="212">
        <f>+Proyecciones!L24</f>
        <v>0</v>
      </c>
      <c r="R182" s="212">
        <f>+Proyecciones!M24</f>
        <v>0</v>
      </c>
      <c r="S182" s="212">
        <f>+Proyecciones!N24</f>
        <v>0</v>
      </c>
      <c r="T182" s="212">
        <f>+Proyecciones!O24</f>
        <v>0</v>
      </c>
      <c r="U182" s="212">
        <f>+Proyecciones!P24</f>
        <v>0</v>
      </c>
      <c r="V182" s="212">
        <f>+Proyecciones!Q24</f>
        <v>0</v>
      </c>
      <c r="W182" s="212">
        <f>+Proyecciones!R24</f>
        <v>0</v>
      </c>
      <c r="X182" s="212">
        <f>+Proyecciones!S24</f>
        <v>0</v>
      </c>
      <c r="Y182" s="212">
        <f>+Proyecciones!T24</f>
        <v>0</v>
      </c>
      <c r="Z182" s="212">
        <f>+Proyecciones!U24</f>
        <v>0</v>
      </c>
      <c r="AA182" s="212">
        <f>+Proyecciones!V24</f>
        <v>0</v>
      </c>
      <c r="AB182" s="212">
        <f>+Proyecciones!W24</f>
        <v>0</v>
      </c>
      <c r="AC182" s="212">
        <f>+Proyecciones!X24</f>
        <v>0</v>
      </c>
      <c r="AD182" s="212">
        <f>+Proyecciones!Y24</f>
        <v>0</v>
      </c>
      <c r="AE182" s="212">
        <f>+Proyecciones!Z24</f>
        <v>0</v>
      </c>
      <c r="AF182" s="212">
        <f>+Proyecciones!AA24</f>
        <v>0</v>
      </c>
    </row>
    <row r="183" spans="2:32">
      <c r="B183" t="str">
        <f t="shared" si="95"/>
        <v>Preconstrucción</v>
      </c>
      <c r="M183" s="212">
        <f>+Proyecciones!H25</f>
        <v>0</v>
      </c>
      <c r="N183" s="212">
        <f>+Proyecciones!I25</f>
        <v>0</v>
      </c>
      <c r="O183" s="212">
        <f>+Proyecciones!J25</f>
        <v>0</v>
      </c>
      <c r="P183" s="212">
        <f>+Proyecciones!K25</f>
        <v>0</v>
      </c>
      <c r="Q183" s="212">
        <f>+Proyecciones!L25</f>
        <v>0</v>
      </c>
      <c r="R183" s="212">
        <f>+Proyecciones!M25</f>
        <v>0</v>
      </c>
      <c r="S183" s="212">
        <f>+Proyecciones!N25</f>
        <v>0</v>
      </c>
      <c r="T183" s="212">
        <f>+Proyecciones!O25</f>
        <v>0</v>
      </c>
      <c r="U183" s="212">
        <f>+Proyecciones!P25</f>
        <v>0</v>
      </c>
      <c r="V183" s="212">
        <f>+Proyecciones!Q25</f>
        <v>0</v>
      </c>
      <c r="W183" s="212">
        <f>+Proyecciones!R25</f>
        <v>0</v>
      </c>
      <c r="X183" s="212">
        <f>+Proyecciones!S25</f>
        <v>0</v>
      </c>
      <c r="Y183" s="212">
        <f>+Proyecciones!T25</f>
        <v>0</v>
      </c>
      <c r="Z183" s="212">
        <f>+Proyecciones!U25</f>
        <v>0</v>
      </c>
      <c r="AA183" s="212">
        <f>+Proyecciones!V25</f>
        <v>0</v>
      </c>
      <c r="AB183" s="212">
        <f>+Proyecciones!W25</f>
        <v>0</v>
      </c>
      <c r="AC183" s="212">
        <f>+Proyecciones!X25</f>
        <v>0</v>
      </c>
      <c r="AD183" s="212">
        <f>+Proyecciones!Y25</f>
        <v>0</v>
      </c>
      <c r="AE183" s="212">
        <f>+Proyecciones!Z25</f>
        <v>0</v>
      </c>
      <c r="AF183" s="212">
        <f>+Proyecciones!AA25</f>
        <v>0</v>
      </c>
    </row>
    <row r="184" spans="2:32">
      <c r="B184" t="str">
        <f t="shared" si="95"/>
        <v>Construcción</v>
      </c>
      <c r="M184" s="212">
        <f>+Proyecciones!H26</f>
        <v>0</v>
      </c>
      <c r="N184" s="212">
        <f>+Proyecciones!I26</f>
        <v>5.0000000000000001E-3</v>
      </c>
      <c r="O184" s="212">
        <f>+Proyecciones!J26</f>
        <v>5.0000000000000001E-3</v>
      </c>
      <c r="P184" s="212">
        <f>+Proyecciones!K26</f>
        <v>5.0000000000000001E-3</v>
      </c>
      <c r="Q184" s="212">
        <f>+Proyecciones!L26</f>
        <v>5.0000000000000001E-3</v>
      </c>
      <c r="R184" s="212">
        <f>+Proyecciones!M26</f>
        <v>0.05</v>
      </c>
      <c r="S184" s="212">
        <f>+Proyecciones!N26</f>
        <v>0.05</v>
      </c>
      <c r="T184" s="212">
        <f>+Proyecciones!O26</f>
        <v>0.05</v>
      </c>
      <c r="U184" s="212">
        <f>+Proyecciones!P26</f>
        <v>0.05</v>
      </c>
      <c r="V184" s="212">
        <f>+Proyecciones!Q26</f>
        <v>0.05</v>
      </c>
      <c r="W184" s="212">
        <f>+Proyecciones!R26</f>
        <v>0.05</v>
      </c>
      <c r="X184" s="212">
        <f>+Proyecciones!S26</f>
        <v>0.05</v>
      </c>
      <c r="Y184" s="212">
        <f>+Proyecciones!T26</f>
        <v>0.05</v>
      </c>
      <c r="Z184" s="212">
        <f>+Proyecciones!U26</f>
        <v>0.05</v>
      </c>
      <c r="AA184" s="212">
        <f>+Proyecciones!V26</f>
        <v>0.05</v>
      </c>
      <c r="AB184" s="212">
        <f>+Proyecciones!W26</f>
        <v>0.05</v>
      </c>
      <c r="AC184" s="212">
        <f>+Proyecciones!X26</f>
        <v>0.05</v>
      </c>
      <c r="AD184" s="212">
        <f>+Proyecciones!Y26</f>
        <v>0.05</v>
      </c>
      <c r="AE184" s="212">
        <f>+Proyecciones!Z26</f>
        <v>0.05</v>
      </c>
      <c r="AF184" s="212">
        <f>+Proyecciones!AA26</f>
        <v>0</v>
      </c>
    </row>
    <row r="185" spans="2:32">
      <c r="B185" t="str">
        <f t="shared" si="95"/>
        <v>Equipos</v>
      </c>
      <c r="M185" s="212">
        <f>+Proyecciones!H27</f>
        <v>0</v>
      </c>
      <c r="N185" s="212">
        <f>+Proyecciones!I27</f>
        <v>0</v>
      </c>
      <c r="O185" s="212">
        <f>+Proyecciones!J27</f>
        <v>0</v>
      </c>
      <c r="P185" s="212">
        <f>+Proyecciones!K27</f>
        <v>0</v>
      </c>
      <c r="Q185" s="212">
        <f>+Proyecciones!L27</f>
        <v>0</v>
      </c>
      <c r="R185" s="212">
        <f>+Proyecciones!M27</f>
        <v>0</v>
      </c>
      <c r="S185" s="212">
        <f>+Proyecciones!N27</f>
        <v>0</v>
      </c>
      <c r="T185" s="212">
        <f>+Proyecciones!O27</f>
        <v>0</v>
      </c>
      <c r="U185" s="212">
        <f>+Proyecciones!P27</f>
        <v>0</v>
      </c>
      <c r="V185" s="212">
        <f>+Proyecciones!Q27</f>
        <v>0</v>
      </c>
      <c r="W185" s="212">
        <f>+Proyecciones!R27</f>
        <v>0</v>
      </c>
      <c r="X185" s="212">
        <f>+Proyecciones!S27</f>
        <v>0</v>
      </c>
      <c r="Y185" s="212">
        <f>+Proyecciones!T27</f>
        <v>0</v>
      </c>
      <c r="Z185" s="212">
        <f>+Proyecciones!U27</f>
        <v>0</v>
      </c>
      <c r="AA185" s="212">
        <f>+Proyecciones!V27</f>
        <v>0</v>
      </c>
      <c r="AB185" s="212">
        <f>+Proyecciones!W27</f>
        <v>0</v>
      </c>
      <c r="AC185" s="212">
        <f>+Proyecciones!X27</f>
        <v>0</v>
      </c>
      <c r="AD185" s="212">
        <f>+Proyecciones!Y27</f>
        <v>0</v>
      </c>
      <c r="AE185" s="212">
        <f>+Proyecciones!Z27</f>
        <v>0</v>
      </c>
      <c r="AF185" s="212">
        <f>+Proyecciones!AA27</f>
        <v>0</v>
      </c>
    </row>
    <row r="186" spans="2:32">
      <c r="B186" t="str">
        <f t="shared" si="95"/>
        <v>Renta Activos</v>
      </c>
      <c r="M186" s="212">
        <f>+Proyecciones!H28</f>
        <v>0</v>
      </c>
      <c r="N186" s="212">
        <f>+Proyecciones!I28</f>
        <v>0</v>
      </c>
      <c r="O186" s="212">
        <f>+Proyecciones!J28</f>
        <v>0</v>
      </c>
      <c r="P186" s="212">
        <f>+Proyecciones!K28</f>
        <v>0</v>
      </c>
      <c r="Q186" s="212">
        <f>+Proyecciones!L28</f>
        <v>0</v>
      </c>
      <c r="R186" s="212">
        <f>+Proyecciones!M28</f>
        <v>0</v>
      </c>
      <c r="S186" s="212">
        <f>+Proyecciones!N28</f>
        <v>0</v>
      </c>
      <c r="T186" s="212">
        <f>+Proyecciones!O28</f>
        <v>0</v>
      </c>
      <c r="U186" s="212">
        <f>+Proyecciones!P28</f>
        <v>0</v>
      </c>
      <c r="V186" s="212">
        <f>+Proyecciones!Q28</f>
        <v>0</v>
      </c>
      <c r="W186" s="212">
        <f>+Proyecciones!R28</f>
        <v>0</v>
      </c>
      <c r="X186" s="212">
        <f>+Proyecciones!S28</f>
        <v>0</v>
      </c>
      <c r="Y186" s="212">
        <f>+Proyecciones!T28</f>
        <v>0</v>
      </c>
      <c r="Z186" s="212">
        <f>+Proyecciones!U28</f>
        <v>0</v>
      </c>
      <c r="AA186" s="212">
        <f>+Proyecciones!V28</f>
        <v>0</v>
      </c>
      <c r="AB186" s="212">
        <f>+Proyecciones!W28</f>
        <v>0</v>
      </c>
      <c r="AC186" s="212">
        <f>+Proyecciones!X28</f>
        <v>0</v>
      </c>
      <c r="AD186" s="212">
        <f>+Proyecciones!Y28</f>
        <v>0</v>
      </c>
      <c r="AE186" s="212">
        <f>+Proyecciones!Z28</f>
        <v>0</v>
      </c>
      <c r="AF186" s="212">
        <f>+Proyecciones!AA28</f>
        <v>0</v>
      </c>
    </row>
    <row r="187" spans="2:32">
      <c r="B187" t="str">
        <f t="shared" si="95"/>
        <v>Corporativo</v>
      </c>
      <c r="M187" s="212">
        <f>+Proyecciones!H29</f>
        <v>0</v>
      </c>
      <c r="N187" s="212">
        <f>+Proyecciones!I29</f>
        <v>5.0000000000000001E-3</v>
      </c>
      <c r="O187" s="212">
        <f>+Proyecciones!J29</f>
        <v>5.0000000000000001E-3</v>
      </c>
      <c r="P187" s="212">
        <f>+Proyecciones!K29</f>
        <v>5.0000000000000001E-3</v>
      </c>
      <c r="Q187" s="212">
        <f>+Proyecciones!L29</f>
        <v>5.0000000000000001E-3</v>
      </c>
      <c r="R187" s="212">
        <f>+Proyecciones!M29</f>
        <v>0.05</v>
      </c>
      <c r="S187" s="212">
        <f>+Proyecciones!N29</f>
        <v>0.05</v>
      </c>
      <c r="T187" s="212">
        <f>+Proyecciones!O29</f>
        <v>0.05</v>
      </c>
      <c r="U187" s="212">
        <f>+Proyecciones!P29</f>
        <v>0.05</v>
      </c>
      <c r="V187" s="212">
        <f>+Proyecciones!Q29</f>
        <v>0.05</v>
      </c>
      <c r="W187" s="212">
        <f>+Proyecciones!R29</f>
        <v>0.05</v>
      </c>
      <c r="X187" s="212">
        <f>+Proyecciones!S29</f>
        <v>0.05</v>
      </c>
      <c r="Y187" s="212">
        <f>+Proyecciones!T29</f>
        <v>0.05</v>
      </c>
      <c r="Z187" s="212">
        <f>+Proyecciones!U29</f>
        <v>0.05</v>
      </c>
      <c r="AA187" s="212">
        <f>+Proyecciones!V29</f>
        <v>0.05</v>
      </c>
      <c r="AB187" s="212">
        <f>+Proyecciones!W29</f>
        <v>0.05</v>
      </c>
      <c r="AC187" s="212">
        <f>+Proyecciones!X29</f>
        <v>0.05</v>
      </c>
      <c r="AD187" s="212">
        <f>+Proyecciones!Y29</f>
        <v>0.05</v>
      </c>
      <c r="AE187" s="212">
        <f>+Proyecciones!Z29</f>
        <v>0.05</v>
      </c>
      <c r="AF187" s="212">
        <f>+Proyecciones!AA29</f>
        <v>0</v>
      </c>
    </row>
    <row r="188" spans="2:32">
      <c r="B188" t="str">
        <f t="shared" si="95"/>
        <v>Recuperaciones</v>
      </c>
    </row>
    <row r="189" spans="2:32">
      <c r="B189">
        <f t="shared" si="95"/>
        <v>0</v>
      </c>
    </row>
    <row r="192" spans="2:32">
      <c r="B192">
        <f>+B189</f>
        <v>0</v>
      </c>
    </row>
    <row r="194" spans="2:32">
      <c r="B194" t="s">
        <v>356</v>
      </c>
      <c r="J194" s="38">
        <f>+J7+J28</f>
        <v>0</v>
      </c>
      <c r="K194" s="38">
        <f t="shared" ref="K194:AF194" si="96">+K7+K28</f>
        <v>8781</v>
      </c>
      <c r="L194" s="38">
        <f t="shared" si="96"/>
        <v>10693.2034145088</v>
      </c>
      <c r="M194" s="38">
        <f t="shared" si="96"/>
        <v>8654.3548254912002</v>
      </c>
      <c r="N194" s="38">
        <f t="shared" si="96"/>
        <v>8538.1076139064517</v>
      </c>
      <c r="O194" s="38">
        <f t="shared" si="96"/>
        <v>9189.4806464610574</v>
      </c>
      <c r="P194" s="38">
        <f t="shared" si="96"/>
        <v>9737.1064881767179</v>
      </c>
      <c r="Q194" s="38">
        <f t="shared" si="96"/>
        <v>10301.333503618729</v>
      </c>
      <c r="R194" s="38">
        <f t="shared" si="96"/>
        <v>10915.594647202679</v>
      </c>
      <c r="S194" s="38">
        <f t="shared" si="96"/>
        <v>11439.73970003356</v>
      </c>
      <c r="T194" s="38">
        <f t="shared" si="96"/>
        <v>12044.610640066823</v>
      </c>
      <c r="U194" s="38">
        <f t="shared" si="96"/>
        <v>12602.76715684549</v>
      </c>
      <c r="V194" s="38">
        <f t="shared" si="96"/>
        <v>13181.595507830642</v>
      </c>
      <c r="W194" s="38">
        <f t="shared" si="96"/>
        <v>13778.109967437682</v>
      </c>
      <c r="X194" s="38">
        <f t="shared" si="96"/>
        <v>14313.368727003006</v>
      </c>
      <c r="Y194" s="38">
        <f t="shared" si="96"/>
        <v>14728.921814238045</v>
      </c>
      <c r="Z194" s="38">
        <f t="shared" si="96"/>
        <v>15314.408032182717</v>
      </c>
      <c r="AA194" s="38">
        <f t="shared" si="96"/>
        <v>15944.173140917133</v>
      </c>
      <c r="AB194" s="38">
        <f t="shared" si="96"/>
        <v>16612.803139214764</v>
      </c>
      <c r="AC194" s="38">
        <f t="shared" si="96"/>
        <v>17220.738306969099</v>
      </c>
      <c r="AD194" s="38">
        <f t="shared" si="96"/>
        <v>18110.977669022788</v>
      </c>
      <c r="AE194" s="38">
        <f t="shared" si="96"/>
        <v>18636.784893496013</v>
      </c>
      <c r="AF194" s="38">
        <f t="shared" si="96"/>
        <v>19377.611740128701</v>
      </c>
    </row>
    <row r="199" spans="2:32">
      <c r="Q199" s="38"/>
    </row>
    <row r="200" spans="2:32">
      <c r="Q200" s="38"/>
    </row>
    <row r="201" spans="2:32">
      <c r="O201">
        <f>+O208/O205</f>
        <v>-9.2105301814077709E-2</v>
      </c>
      <c r="P201">
        <f>+P208/P205</f>
        <v>0.25566563174799062</v>
      </c>
      <c r="Q201">
        <f>+Q208/Q205</f>
        <v>0.47795556567721453</v>
      </c>
    </row>
    <row r="202" spans="2:32">
      <c r="B202" t="str">
        <f>+B6</f>
        <v>Ventas Negocios Externos</v>
      </c>
      <c r="L202" s="38">
        <f>+L203+L204</f>
        <v>148633</v>
      </c>
      <c r="M202" s="38">
        <f t="shared" ref="M202:AF202" si="97">+M203+M204</f>
        <v>115244</v>
      </c>
      <c r="N202" s="38">
        <f t="shared" si="97"/>
        <v>156414.24</v>
      </c>
      <c r="O202" s="38">
        <f t="shared" si="97"/>
        <v>187235.72959999999</v>
      </c>
      <c r="P202" s="38">
        <f t="shared" si="97"/>
        <v>252925.158784</v>
      </c>
      <c r="Q202" s="38">
        <f t="shared" si="97"/>
        <v>315520.28123136004</v>
      </c>
      <c r="R202" s="38">
        <f t="shared" si="97"/>
        <v>338156.37568061444</v>
      </c>
      <c r="S202" s="38">
        <f t="shared" si="97"/>
        <v>362431.83386073506</v>
      </c>
      <c r="T202" s="38">
        <f t="shared" si="97"/>
        <v>388466.01197510475</v>
      </c>
      <c r="U202" s="38">
        <f t="shared" si="97"/>
        <v>416386.98159485759</v>
      </c>
      <c r="V202" s="38">
        <f t="shared" si="97"/>
        <v>446332.16707883461</v>
      </c>
      <c r="W202" s="38">
        <f t="shared" si="97"/>
        <v>468642.8212282373</v>
      </c>
      <c r="X202" s="38">
        <f t="shared" si="97"/>
        <v>502370.9941943211</v>
      </c>
      <c r="Y202" s="38">
        <f t="shared" si="97"/>
        <v>538546.20875641878</v>
      </c>
      <c r="Z202" s="38">
        <f t="shared" si="97"/>
        <v>577346.80176592863</v>
      </c>
      <c r="AA202" s="38">
        <f t="shared" si="97"/>
        <v>618964.13930444873</v>
      </c>
      <c r="AB202" s="38">
        <f t="shared" si="97"/>
        <v>663603.56989399611</v>
      </c>
      <c r="AC202" s="38">
        <f t="shared" si="97"/>
        <v>696815.75481658184</v>
      </c>
      <c r="AD202" s="38">
        <f t="shared" si="97"/>
        <v>747101.54164930189</v>
      </c>
      <c r="AE202" s="38">
        <f t="shared" si="97"/>
        <v>801041.19607391418</v>
      </c>
      <c r="AF202" s="38">
        <f t="shared" si="97"/>
        <v>858901.23051286419</v>
      </c>
    </row>
    <row r="203" spans="2:32">
      <c r="B203" s="4" t="s">
        <v>600</v>
      </c>
      <c r="L203" s="38">
        <f>+L8+L11+L14+L17</f>
        <v>148633</v>
      </c>
      <c r="M203" s="38">
        <f t="shared" ref="M203:AF203" si="98">+M8+M11+M14+M17</f>
        <v>91611</v>
      </c>
      <c r="N203" s="38">
        <f t="shared" si="98"/>
        <v>3611</v>
      </c>
      <c r="O203" s="38">
        <f t="shared" si="98"/>
        <v>3755.44</v>
      </c>
      <c r="P203" s="38">
        <f t="shared" si="98"/>
        <v>3905.6576</v>
      </c>
      <c r="Q203" s="38">
        <f t="shared" si="98"/>
        <v>0</v>
      </c>
      <c r="R203" s="38">
        <f t="shared" si="98"/>
        <v>0</v>
      </c>
      <c r="S203" s="38">
        <f t="shared" si="98"/>
        <v>0</v>
      </c>
      <c r="T203" s="38">
        <f t="shared" si="98"/>
        <v>0</v>
      </c>
      <c r="U203" s="38">
        <f t="shared" si="98"/>
        <v>0</v>
      </c>
      <c r="V203" s="38">
        <f t="shared" si="98"/>
        <v>0</v>
      </c>
      <c r="W203" s="38">
        <f t="shared" si="98"/>
        <v>0</v>
      </c>
      <c r="X203" s="38">
        <f t="shared" si="98"/>
        <v>0</v>
      </c>
      <c r="Y203" s="38">
        <f t="shared" si="98"/>
        <v>0</v>
      </c>
      <c r="Z203" s="38">
        <f t="shared" si="98"/>
        <v>0</v>
      </c>
      <c r="AA203" s="38">
        <f t="shared" si="98"/>
        <v>0</v>
      </c>
      <c r="AB203" s="38">
        <f t="shared" si="98"/>
        <v>0</v>
      </c>
      <c r="AC203" s="38">
        <f t="shared" si="98"/>
        <v>0</v>
      </c>
      <c r="AD203" s="38">
        <f t="shared" si="98"/>
        <v>0</v>
      </c>
      <c r="AE203" s="38">
        <f t="shared" si="98"/>
        <v>0</v>
      </c>
      <c r="AF203" s="38">
        <f t="shared" si="98"/>
        <v>0</v>
      </c>
    </row>
    <row r="204" spans="2:32">
      <c r="B204" s="4" t="s">
        <v>601</v>
      </c>
      <c r="L204" s="38">
        <f>+L9+L12+L15+L18</f>
        <v>0</v>
      </c>
      <c r="M204" s="38">
        <f t="shared" ref="M204:AF204" si="99">+M9+M12+M15+M18</f>
        <v>23633</v>
      </c>
      <c r="N204" s="38">
        <f t="shared" si="99"/>
        <v>152803.24</v>
      </c>
      <c r="O204" s="38">
        <f t="shared" si="99"/>
        <v>183480.28959999999</v>
      </c>
      <c r="P204" s="38">
        <f t="shared" si="99"/>
        <v>249019.50118399999</v>
      </c>
      <c r="Q204" s="38">
        <f t="shared" si="99"/>
        <v>315520.28123136004</v>
      </c>
      <c r="R204" s="38">
        <f t="shared" si="99"/>
        <v>338156.37568061444</v>
      </c>
      <c r="S204" s="38">
        <f t="shared" si="99"/>
        <v>362431.83386073506</v>
      </c>
      <c r="T204" s="38">
        <f t="shared" si="99"/>
        <v>388466.01197510475</v>
      </c>
      <c r="U204" s="38">
        <f t="shared" si="99"/>
        <v>416386.98159485759</v>
      </c>
      <c r="V204" s="38">
        <f t="shared" si="99"/>
        <v>446332.16707883461</v>
      </c>
      <c r="W204" s="38">
        <f t="shared" si="99"/>
        <v>468642.8212282373</v>
      </c>
      <c r="X204" s="38">
        <f t="shared" si="99"/>
        <v>502370.9941943211</v>
      </c>
      <c r="Y204" s="38">
        <f t="shared" si="99"/>
        <v>538546.20875641878</v>
      </c>
      <c r="Z204" s="38">
        <f t="shared" si="99"/>
        <v>577346.80176592863</v>
      </c>
      <c r="AA204" s="38">
        <f t="shared" si="99"/>
        <v>618964.13930444873</v>
      </c>
      <c r="AB204" s="38">
        <f t="shared" si="99"/>
        <v>663603.56989399611</v>
      </c>
      <c r="AC204" s="38">
        <f t="shared" si="99"/>
        <v>696815.75481658184</v>
      </c>
      <c r="AD204" s="38">
        <f t="shared" si="99"/>
        <v>747101.54164930189</v>
      </c>
      <c r="AE204" s="38">
        <f t="shared" si="99"/>
        <v>801041.19607391418</v>
      </c>
      <c r="AF204" s="38">
        <f t="shared" si="99"/>
        <v>858901.23051286419</v>
      </c>
    </row>
    <row r="205" spans="2:32">
      <c r="B205" t="str">
        <f>+B24</f>
        <v>Ventas Negocios Internos</v>
      </c>
      <c r="L205" s="38">
        <f>+L206+L208+L207</f>
        <v>58607.806938146008</v>
      </c>
      <c r="M205" s="38">
        <f t="shared" ref="M205:AF205" si="100">+M206+M208+M207</f>
        <v>39120.128991032303</v>
      </c>
      <c r="N205" s="38">
        <f t="shared" si="100"/>
        <v>50366.420996128429</v>
      </c>
      <c r="O205" s="38">
        <f t="shared" si="100"/>
        <v>98800.081980262767</v>
      </c>
      <c r="P205" s="38">
        <f t="shared" si="100"/>
        <v>87457.086699143081</v>
      </c>
      <c r="Q205" s="38">
        <f t="shared" si="100"/>
        <v>121216.14403121702</v>
      </c>
      <c r="R205" s="38">
        <f t="shared" si="100"/>
        <v>161081.77565487311</v>
      </c>
      <c r="S205" s="38">
        <f t="shared" si="100"/>
        <v>182681.39037834108</v>
      </c>
      <c r="T205" s="38">
        <f t="shared" si="100"/>
        <v>215493.83884053858</v>
      </c>
      <c r="U205" s="38">
        <f t="shared" si="100"/>
        <v>237339.196903515</v>
      </c>
      <c r="V205" s="38">
        <f t="shared" si="100"/>
        <v>259771.8668537034</v>
      </c>
      <c r="W205" s="38">
        <f t="shared" si="100"/>
        <v>282155.10095152381</v>
      </c>
      <c r="X205" s="38">
        <f t="shared" si="100"/>
        <v>290693.80043367471</v>
      </c>
      <c r="Y205" s="38">
        <f t="shared" si="100"/>
        <v>275136.52526615706</v>
      </c>
      <c r="Z205" s="38">
        <f t="shared" si="100"/>
        <v>285506.32702469721</v>
      </c>
      <c r="AA205" s="38">
        <f t="shared" si="100"/>
        <v>299903.21857754444</v>
      </c>
      <c r="AB205" s="38">
        <f t="shared" si="100"/>
        <v>317244.00643200264</v>
      </c>
      <c r="AC205" s="38">
        <f t="shared" si="100"/>
        <v>320136.150087827</v>
      </c>
      <c r="AD205" s="38">
        <f t="shared" si="100"/>
        <v>367820.39424760942</v>
      </c>
      <c r="AE205" s="38">
        <f t="shared" si="100"/>
        <v>348135.47810217383</v>
      </c>
      <c r="AF205" s="38">
        <f t="shared" si="100"/>
        <v>361256.58548528783</v>
      </c>
    </row>
    <row r="206" spans="2:32">
      <c r="B206" s="4" t="s">
        <v>602</v>
      </c>
      <c r="L206" s="38">
        <f>+L26+L29+L32+L35+L38</f>
        <v>58607.806938146008</v>
      </c>
      <c r="M206" s="38">
        <f t="shared" ref="M206:AF206" si="101">+M26+M29+M32+M35+M38</f>
        <v>35243.458736432302</v>
      </c>
      <c r="N206" s="38">
        <f t="shared" si="101"/>
        <v>32384.91804067072</v>
      </c>
      <c r="O206" s="38">
        <f t="shared" si="101"/>
        <v>55139.175024980803</v>
      </c>
      <c r="P206" s="38">
        <f t="shared" si="101"/>
        <v>10225.960319025002</v>
      </c>
      <c r="Q206" s="38">
        <f t="shared" si="101"/>
        <v>9477.7358503050018</v>
      </c>
      <c r="R206" s="38">
        <f t="shared" si="101"/>
        <v>11978.293590674994</v>
      </c>
      <c r="S206" s="38">
        <f t="shared" si="101"/>
        <v>0</v>
      </c>
      <c r="T206" s="38">
        <f t="shared" si="101"/>
        <v>0</v>
      </c>
      <c r="U206" s="38">
        <f t="shared" si="101"/>
        <v>0</v>
      </c>
      <c r="V206" s="38">
        <f t="shared" si="101"/>
        <v>0</v>
      </c>
      <c r="W206" s="38">
        <f t="shared" si="101"/>
        <v>0</v>
      </c>
      <c r="X206" s="38">
        <f t="shared" si="101"/>
        <v>0</v>
      </c>
      <c r="Y206" s="38">
        <f t="shared" si="101"/>
        <v>0</v>
      </c>
      <c r="Z206" s="38">
        <f t="shared" si="101"/>
        <v>0</v>
      </c>
      <c r="AA206" s="38">
        <f t="shared" si="101"/>
        <v>0</v>
      </c>
      <c r="AB206" s="38">
        <f t="shared" si="101"/>
        <v>0</v>
      </c>
      <c r="AC206" s="38">
        <f t="shared" si="101"/>
        <v>0</v>
      </c>
      <c r="AD206" s="38">
        <f t="shared" si="101"/>
        <v>0</v>
      </c>
      <c r="AE206" s="38">
        <f t="shared" si="101"/>
        <v>0</v>
      </c>
      <c r="AF206" s="38">
        <f t="shared" si="101"/>
        <v>0</v>
      </c>
    </row>
    <row r="207" spans="2:32">
      <c r="B207" s="4" t="s">
        <v>603</v>
      </c>
      <c r="L207" s="38"/>
      <c r="M207" s="38">
        <f>+'Para hacer operaciones'!J171</f>
        <v>10000</v>
      </c>
      <c r="N207" s="38">
        <f>+'Para hacer operaciones'!K171</f>
        <v>41541.756215166257</v>
      </c>
      <c r="O207" s="38">
        <f>+'Para hacer operaciones'!L171</f>
        <v>52760.918325329687</v>
      </c>
      <c r="P207" s="38">
        <f>+'Para hacer operaciones'!M171</f>
        <v>54871.355058342873</v>
      </c>
      <c r="Q207" s="38">
        <f>+'Para hacer operaciones'!N171</f>
        <v>53802.477491260972</v>
      </c>
      <c r="R207" s="38">
        <f>+'Para hacer operaciones'!O171</f>
        <v>44108.504640224906</v>
      </c>
      <c r="S207" s="38">
        <f>+'Para hacer operaciones'!P171</f>
        <v>45872.844825833905</v>
      </c>
      <c r="T207" s="38">
        <f>+'Para hacer operaciones'!Q171</f>
        <v>47707.758618867265</v>
      </c>
      <c r="U207" s="38">
        <f>+'Para hacer operaciones'!R171</f>
        <v>34464.116468557826</v>
      </c>
      <c r="V207" s="38">
        <f>+'Para hacer operaciones'!S171</f>
        <v>17515.623802954669</v>
      </c>
      <c r="W207" s="38">
        <f>+'Para hacer operaciones'!T171</f>
        <v>18216.248755072858</v>
      </c>
      <c r="X207" s="38">
        <f>+'Para hacer operaciones'!U171</f>
        <v>18944.898705275773</v>
      </c>
      <c r="Y207" s="38">
        <f>+'Para hacer operaciones'!V171</f>
        <v>19702.694653486804</v>
      </c>
      <c r="Z207" s="38">
        <f>+'Para hacer operaciones'!W171</f>
        <v>20490.802439626277</v>
      </c>
      <c r="AA207" s="38">
        <f>+'Para hacer operaciones'!X171</f>
        <v>0</v>
      </c>
      <c r="AB207" s="38">
        <f>+'Para hacer operaciones'!Y171</f>
        <v>0</v>
      </c>
      <c r="AC207" s="38">
        <f>+'Para hacer operaciones'!Z171</f>
        <v>0</v>
      </c>
      <c r="AD207" s="38">
        <f>+'Para hacer operaciones'!AA171</f>
        <v>0</v>
      </c>
      <c r="AE207" s="38"/>
      <c r="AF207" s="38"/>
    </row>
    <row r="208" spans="2:32">
      <c r="B208" s="4" t="s">
        <v>604</v>
      </c>
      <c r="L208" s="38">
        <f>+L27+L30+L33+L36+L39</f>
        <v>0</v>
      </c>
      <c r="M208" s="38">
        <f>+M27+M30+M33+M36+M39-M207</f>
        <v>-6123.3297454000003</v>
      </c>
      <c r="N208" s="38">
        <f t="shared" ref="N208:AF208" si="102">+N27+N30+N33+N36+N39-N207</f>
        <v>-23560.253259708548</v>
      </c>
      <c r="O208" s="38">
        <f t="shared" si="102"/>
        <v>-9100.0113700477232</v>
      </c>
      <c r="P208" s="38">
        <f t="shared" si="102"/>
        <v>22359.771321775203</v>
      </c>
      <c r="Q208" s="38">
        <f t="shared" si="102"/>
        <v>57935.930689651039</v>
      </c>
      <c r="R208" s="38">
        <f t="shared" si="102"/>
        <v>104994.97742397321</v>
      </c>
      <c r="S208" s="38">
        <f t="shared" si="102"/>
        <v>136808.54555250716</v>
      </c>
      <c r="T208" s="38">
        <f t="shared" si="102"/>
        <v>167786.08022167132</v>
      </c>
      <c r="U208" s="38">
        <f t="shared" si="102"/>
        <v>202875.08043495717</v>
      </c>
      <c r="V208" s="38">
        <f t="shared" si="102"/>
        <v>242256.24305074872</v>
      </c>
      <c r="W208" s="38">
        <f t="shared" si="102"/>
        <v>263938.85219645093</v>
      </c>
      <c r="X208" s="38">
        <f t="shared" si="102"/>
        <v>271748.90172839892</v>
      </c>
      <c r="Y208" s="38">
        <f t="shared" si="102"/>
        <v>255433.83061267025</v>
      </c>
      <c r="Z208" s="38">
        <f t="shared" si="102"/>
        <v>265015.5245850709</v>
      </c>
      <c r="AA208" s="38">
        <f t="shared" si="102"/>
        <v>299903.21857754444</v>
      </c>
      <c r="AB208" s="38">
        <f t="shared" si="102"/>
        <v>317244.00643200264</v>
      </c>
      <c r="AC208" s="38">
        <f t="shared" si="102"/>
        <v>320136.150087827</v>
      </c>
      <c r="AD208" s="38">
        <f t="shared" si="102"/>
        <v>367820.39424760942</v>
      </c>
      <c r="AE208" s="38">
        <f t="shared" si="102"/>
        <v>348135.47810217383</v>
      </c>
      <c r="AF208" s="38">
        <f t="shared" si="102"/>
        <v>361256.58548528783</v>
      </c>
    </row>
    <row r="209" spans="2:32">
      <c r="L209">
        <f>+L4</f>
        <v>2019</v>
      </c>
      <c r="M209">
        <f t="shared" ref="M209:W209" si="103">+M4</f>
        <v>2020</v>
      </c>
      <c r="N209">
        <f t="shared" si="103"/>
        <v>2021</v>
      </c>
      <c r="O209">
        <f t="shared" si="103"/>
        <v>2022</v>
      </c>
      <c r="P209">
        <f t="shared" si="103"/>
        <v>2023</v>
      </c>
      <c r="Q209">
        <f t="shared" si="103"/>
        <v>2024</v>
      </c>
      <c r="R209">
        <f t="shared" si="103"/>
        <v>2025</v>
      </c>
      <c r="S209">
        <f t="shared" si="103"/>
        <v>2026</v>
      </c>
      <c r="T209">
        <f t="shared" si="103"/>
        <v>2027</v>
      </c>
      <c r="U209">
        <f t="shared" si="103"/>
        <v>2028</v>
      </c>
      <c r="V209">
        <f t="shared" si="103"/>
        <v>2029</v>
      </c>
      <c r="W209">
        <f t="shared" si="103"/>
        <v>2030</v>
      </c>
    </row>
    <row r="210" spans="2:32">
      <c r="B210" t="str">
        <f>+B206</f>
        <v>Neg Int - Backlog</v>
      </c>
      <c r="L210" s="38">
        <f>+L203+L206</f>
        <v>207240.80693814601</v>
      </c>
      <c r="M210" s="38">
        <f t="shared" ref="M210:AF210" si="104">+M203+M206</f>
        <v>126854.45873643231</v>
      </c>
      <c r="N210" s="38">
        <f t="shared" si="104"/>
        <v>35995.918040670716</v>
      </c>
      <c r="O210" s="38">
        <f t="shared" si="104"/>
        <v>58894.615024980805</v>
      </c>
      <c r="P210" s="38">
        <f t="shared" si="104"/>
        <v>14131.617919025002</v>
      </c>
      <c r="Q210" s="38">
        <f t="shared" si="104"/>
        <v>9477.7358503050018</v>
      </c>
      <c r="R210" s="38">
        <f t="shared" si="104"/>
        <v>11978.293590674994</v>
      </c>
      <c r="S210" s="38">
        <f t="shared" si="104"/>
        <v>0</v>
      </c>
      <c r="T210" s="38">
        <f t="shared" si="104"/>
        <v>0</v>
      </c>
      <c r="U210" s="38">
        <f t="shared" si="104"/>
        <v>0</v>
      </c>
      <c r="V210" s="38">
        <f t="shared" si="104"/>
        <v>0</v>
      </c>
      <c r="W210" s="38">
        <f t="shared" si="104"/>
        <v>0</v>
      </c>
      <c r="X210" s="38">
        <f t="shared" si="104"/>
        <v>0</v>
      </c>
      <c r="Y210" s="38">
        <f t="shared" si="104"/>
        <v>0</v>
      </c>
      <c r="Z210" s="38">
        <f t="shared" si="104"/>
        <v>0</v>
      </c>
      <c r="AA210" s="38">
        <f t="shared" si="104"/>
        <v>0</v>
      </c>
      <c r="AB210" s="38">
        <f t="shared" si="104"/>
        <v>0</v>
      </c>
      <c r="AC210" s="38">
        <f t="shared" si="104"/>
        <v>0</v>
      </c>
      <c r="AD210" s="38">
        <f t="shared" si="104"/>
        <v>0</v>
      </c>
      <c r="AE210" s="38">
        <f t="shared" si="104"/>
        <v>0</v>
      </c>
      <c r="AF210" s="38">
        <f t="shared" si="104"/>
        <v>0</v>
      </c>
    </row>
    <row r="211" spans="2:32">
      <c r="B211" t="s">
        <v>596</v>
      </c>
      <c r="L211" s="38">
        <v>0</v>
      </c>
      <c r="M211" s="38">
        <f>+M207</f>
        <v>10000</v>
      </c>
      <c r="N211" s="38">
        <f t="shared" ref="N211:AB211" si="105">+N207</f>
        <v>41541.756215166257</v>
      </c>
      <c r="O211" s="38">
        <f t="shared" si="105"/>
        <v>52760.918325329687</v>
      </c>
      <c r="P211" s="38">
        <f t="shared" si="105"/>
        <v>54871.355058342873</v>
      </c>
      <c r="Q211" s="38">
        <f t="shared" si="105"/>
        <v>53802.477491260972</v>
      </c>
      <c r="R211" s="38">
        <f t="shared" si="105"/>
        <v>44108.504640224906</v>
      </c>
      <c r="S211" s="38">
        <f t="shared" si="105"/>
        <v>45872.844825833905</v>
      </c>
      <c r="T211" s="38">
        <f t="shared" si="105"/>
        <v>47707.758618867265</v>
      </c>
      <c r="U211" s="38">
        <f t="shared" si="105"/>
        <v>34464.116468557826</v>
      </c>
      <c r="V211" s="38">
        <f t="shared" si="105"/>
        <v>17515.623802954669</v>
      </c>
      <c r="W211" s="38">
        <f t="shared" si="105"/>
        <v>18216.248755072858</v>
      </c>
      <c r="X211" s="38">
        <f t="shared" si="105"/>
        <v>18944.898705275773</v>
      </c>
      <c r="Y211" s="38">
        <f t="shared" si="105"/>
        <v>19702.694653486804</v>
      </c>
      <c r="Z211" s="38">
        <f t="shared" si="105"/>
        <v>20490.802439626277</v>
      </c>
      <c r="AA211" s="38">
        <f t="shared" si="105"/>
        <v>0</v>
      </c>
      <c r="AB211" s="38">
        <f t="shared" si="105"/>
        <v>0</v>
      </c>
      <c r="AC211" s="38"/>
      <c r="AD211" s="38"/>
      <c r="AE211" s="38"/>
      <c r="AF211" s="38"/>
    </row>
    <row r="212" spans="2:32">
      <c r="B212" t="str">
        <f>+B208</f>
        <v>Neg Int - Por conseguir</v>
      </c>
      <c r="L212" s="38">
        <f>+L204+L208</f>
        <v>0</v>
      </c>
      <c r="M212" s="38">
        <f t="shared" ref="M212:AF212" si="106">+M204+M208</f>
        <v>17509.670254600001</v>
      </c>
      <c r="N212" s="38">
        <f t="shared" si="106"/>
        <v>129242.98674029144</v>
      </c>
      <c r="O212" s="38">
        <f t="shared" si="106"/>
        <v>174380.27822995227</v>
      </c>
      <c r="P212" s="38">
        <f t="shared" si="106"/>
        <v>271379.27250577521</v>
      </c>
      <c r="Q212" s="38">
        <f t="shared" si="106"/>
        <v>373456.2119210111</v>
      </c>
      <c r="R212" s="38">
        <f t="shared" si="106"/>
        <v>443151.35310458764</v>
      </c>
      <c r="S212" s="38">
        <f t="shared" si="106"/>
        <v>499240.37941324222</v>
      </c>
      <c r="T212" s="38">
        <f t="shared" si="106"/>
        <v>556252.09219677607</v>
      </c>
      <c r="U212" s="38">
        <f t="shared" si="106"/>
        <v>619262.06202981481</v>
      </c>
      <c r="V212" s="38">
        <f t="shared" si="106"/>
        <v>688588.41012958332</v>
      </c>
      <c r="W212" s="38">
        <f t="shared" si="106"/>
        <v>732581.67342468817</v>
      </c>
      <c r="X212" s="38">
        <f t="shared" si="106"/>
        <v>774119.89592271997</v>
      </c>
      <c r="Y212" s="38">
        <f t="shared" si="106"/>
        <v>793980.03936908906</v>
      </c>
      <c r="Z212" s="38">
        <f t="shared" si="106"/>
        <v>842362.32635099953</v>
      </c>
      <c r="AA212" s="38">
        <f t="shared" si="106"/>
        <v>918867.35788199317</v>
      </c>
      <c r="AB212" s="38">
        <f t="shared" si="106"/>
        <v>980847.57632599876</v>
      </c>
      <c r="AC212" s="38">
        <f t="shared" si="106"/>
        <v>1016951.9049044088</v>
      </c>
      <c r="AD212" s="38">
        <f t="shared" si="106"/>
        <v>1114921.9358969112</v>
      </c>
      <c r="AE212" s="38">
        <f t="shared" si="106"/>
        <v>1149176.6741760881</v>
      </c>
      <c r="AF212" s="38">
        <f t="shared" si="106"/>
        <v>1220157.8159981519</v>
      </c>
    </row>
    <row r="214" spans="2:32">
      <c r="B214" t="s">
        <v>624</v>
      </c>
      <c r="C214">
        <f>+C4</f>
        <v>0</v>
      </c>
      <c r="D214">
        <f t="shared" ref="D214:W214" si="107">+D4</f>
        <v>0</v>
      </c>
      <c r="E214">
        <f t="shared" si="107"/>
        <v>0</v>
      </c>
      <c r="F214">
        <f t="shared" si="107"/>
        <v>0</v>
      </c>
      <c r="G214">
        <f t="shared" si="107"/>
        <v>0</v>
      </c>
      <c r="H214">
        <f t="shared" si="107"/>
        <v>0</v>
      </c>
      <c r="I214">
        <f t="shared" si="107"/>
        <v>0</v>
      </c>
      <c r="J214">
        <f t="shared" si="107"/>
        <v>0</v>
      </c>
      <c r="K214">
        <f t="shared" si="107"/>
        <v>2018</v>
      </c>
      <c r="L214">
        <f t="shared" si="107"/>
        <v>2019</v>
      </c>
      <c r="M214">
        <f t="shared" si="107"/>
        <v>2020</v>
      </c>
      <c r="N214">
        <f t="shared" si="107"/>
        <v>2021</v>
      </c>
      <c r="O214">
        <f t="shared" si="107"/>
        <v>2022</v>
      </c>
      <c r="P214">
        <f t="shared" si="107"/>
        <v>2023</v>
      </c>
      <c r="Q214">
        <f t="shared" si="107"/>
        <v>2024</v>
      </c>
      <c r="R214">
        <f t="shared" si="107"/>
        <v>2025</v>
      </c>
      <c r="S214">
        <f t="shared" si="107"/>
        <v>2026</v>
      </c>
      <c r="T214">
        <f t="shared" si="107"/>
        <v>2027</v>
      </c>
      <c r="U214">
        <f t="shared" si="107"/>
        <v>2028</v>
      </c>
      <c r="V214">
        <f t="shared" si="107"/>
        <v>2029</v>
      </c>
      <c r="W214">
        <f t="shared" si="107"/>
        <v>2030</v>
      </c>
    </row>
    <row r="215" spans="2:32">
      <c r="B215" t="str">
        <f>+B25</f>
        <v>Inmobiliario</v>
      </c>
      <c r="C215" s="255">
        <f>+C25</f>
        <v>0</v>
      </c>
      <c r="D215" s="255">
        <f t="shared" ref="D215:W215" si="108">+D25</f>
        <v>0</v>
      </c>
      <c r="E215" s="255">
        <f t="shared" si="108"/>
        <v>0</v>
      </c>
      <c r="F215" s="255">
        <f t="shared" si="108"/>
        <v>0</v>
      </c>
      <c r="G215" s="255">
        <f t="shared" si="108"/>
        <v>0</v>
      </c>
      <c r="H215" s="255">
        <f t="shared" si="108"/>
        <v>0</v>
      </c>
      <c r="I215" s="255">
        <f t="shared" si="108"/>
        <v>0</v>
      </c>
      <c r="J215" s="255">
        <f t="shared" si="108"/>
        <v>0</v>
      </c>
      <c r="K215" s="255">
        <f t="shared" si="108"/>
        <v>0</v>
      </c>
      <c r="L215" s="255">
        <f t="shared" si="108"/>
        <v>16778.6712498538</v>
      </c>
      <c r="M215" s="255">
        <f t="shared" si="108"/>
        <v>13443.102844499805</v>
      </c>
      <c r="N215" s="255">
        <f t="shared" si="108"/>
        <v>16283.294580661775</v>
      </c>
      <c r="O215" s="255">
        <f t="shared" si="108"/>
        <v>34964.039118255205</v>
      </c>
      <c r="P215" s="255">
        <f t="shared" si="108"/>
        <v>29357.439169050118</v>
      </c>
      <c r="Q215" s="255">
        <f t="shared" si="108"/>
        <v>40510.697201341805</v>
      </c>
      <c r="R215" s="255">
        <f t="shared" si="108"/>
        <v>53550.855709393632</v>
      </c>
      <c r="S215" s="255">
        <f t="shared" si="108"/>
        <v>60709.998131281129</v>
      </c>
      <c r="T215" s="255">
        <f t="shared" si="108"/>
        <v>71590.171274498658</v>
      </c>
      <c r="U215" s="255">
        <f t="shared" si="108"/>
        <v>78873.762189534609</v>
      </c>
      <c r="V215" s="255">
        <f t="shared" si="108"/>
        <v>86301.106522598639</v>
      </c>
      <c r="W215" s="255">
        <f t="shared" si="108"/>
        <v>93676.107632588304</v>
      </c>
    </row>
    <row r="216" spans="2:32">
      <c r="B216" t="str">
        <f>+B7</f>
        <v>Arquitectura</v>
      </c>
      <c r="C216" s="255">
        <f>+C7+C28</f>
        <v>0</v>
      </c>
      <c r="D216" s="255">
        <f t="shared" ref="D216:W216" si="109">+D7+D28</f>
        <v>0</v>
      </c>
      <c r="E216" s="255">
        <f t="shared" si="109"/>
        <v>0</v>
      </c>
      <c r="F216" s="255">
        <f t="shared" si="109"/>
        <v>0</v>
      </c>
      <c r="G216" s="255">
        <f t="shared" si="109"/>
        <v>0</v>
      </c>
      <c r="H216" s="255">
        <f t="shared" si="109"/>
        <v>0</v>
      </c>
      <c r="I216" s="255">
        <f t="shared" si="109"/>
        <v>0</v>
      </c>
      <c r="J216" s="255">
        <f t="shared" si="109"/>
        <v>0</v>
      </c>
      <c r="K216" s="255">
        <f t="shared" si="109"/>
        <v>8781</v>
      </c>
      <c r="L216" s="255">
        <f t="shared" si="109"/>
        <v>10693.2034145088</v>
      </c>
      <c r="M216" s="255">
        <f t="shared" si="109"/>
        <v>8654.3548254912002</v>
      </c>
      <c r="N216" s="255">
        <f t="shared" si="109"/>
        <v>8538.1076139064517</v>
      </c>
      <c r="O216" s="255">
        <f t="shared" si="109"/>
        <v>9189.4806464610574</v>
      </c>
      <c r="P216" s="255">
        <f t="shared" si="109"/>
        <v>9737.1064881767179</v>
      </c>
      <c r="Q216" s="255">
        <f t="shared" si="109"/>
        <v>10301.333503618729</v>
      </c>
      <c r="R216" s="255">
        <f t="shared" si="109"/>
        <v>10915.594647202679</v>
      </c>
      <c r="S216" s="255">
        <f t="shared" si="109"/>
        <v>11439.73970003356</v>
      </c>
      <c r="T216" s="255">
        <f t="shared" si="109"/>
        <v>12044.610640066823</v>
      </c>
      <c r="U216" s="255">
        <f t="shared" si="109"/>
        <v>12602.76715684549</v>
      </c>
      <c r="V216" s="255">
        <f t="shared" si="109"/>
        <v>13181.595507830642</v>
      </c>
      <c r="W216" s="255">
        <f t="shared" si="109"/>
        <v>13778.109967437682</v>
      </c>
    </row>
    <row r="217" spans="2:32">
      <c r="B217" t="str">
        <f>+B31</f>
        <v>Preconstrucción</v>
      </c>
      <c r="C217" s="255">
        <f>+C21+C31</f>
        <v>0</v>
      </c>
      <c r="D217" s="255">
        <f t="shared" ref="D217:W217" si="110">+D21+D31</f>
        <v>0</v>
      </c>
      <c r="E217" s="255">
        <f t="shared" si="110"/>
        <v>0</v>
      </c>
      <c r="F217" s="255">
        <f t="shared" si="110"/>
        <v>0</v>
      </c>
      <c r="G217" s="255">
        <f t="shared" si="110"/>
        <v>0</v>
      </c>
      <c r="H217" s="255">
        <f t="shared" si="110"/>
        <v>0</v>
      </c>
      <c r="I217" s="255">
        <f t="shared" si="110"/>
        <v>0</v>
      </c>
      <c r="J217" s="255">
        <f t="shared" si="110"/>
        <v>0</v>
      </c>
      <c r="K217" s="255">
        <f t="shared" si="110"/>
        <v>412</v>
      </c>
      <c r="L217" s="255">
        <f t="shared" si="110"/>
        <v>0</v>
      </c>
      <c r="M217" s="255">
        <f t="shared" si="110"/>
        <v>17.9088624</v>
      </c>
      <c r="N217" s="255">
        <f t="shared" si="110"/>
        <v>64.443045562580636</v>
      </c>
      <c r="O217" s="255">
        <f t="shared" si="110"/>
        <v>124.99225858442321</v>
      </c>
      <c r="P217" s="255">
        <f t="shared" si="110"/>
        <v>202.01059527068693</v>
      </c>
      <c r="Q217" s="255">
        <f t="shared" si="110"/>
        <v>279.98812144749161</v>
      </c>
      <c r="R217" s="255">
        <f t="shared" si="110"/>
        <v>372.07076768107129</v>
      </c>
      <c r="S217" s="255">
        <f t="shared" si="110"/>
        <v>421.96210516542408</v>
      </c>
      <c r="T217" s="255">
        <f t="shared" si="110"/>
        <v>497.75313018480898</v>
      </c>
      <c r="U217" s="255">
        <f t="shared" si="110"/>
        <v>548.21209186259841</v>
      </c>
      <c r="V217" s="255">
        <f t="shared" si="110"/>
        <v>600.02764142163505</v>
      </c>
      <c r="W217" s="255">
        <f t="shared" si="110"/>
        <v>651.72900279602607</v>
      </c>
    </row>
    <row r="218" spans="2:32">
      <c r="B218" t="str">
        <f>+B34</f>
        <v>Construcción</v>
      </c>
      <c r="C218" s="255">
        <f>+C10+C34</f>
        <v>0</v>
      </c>
      <c r="D218" s="255">
        <f t="shared" ref="D218:W218" si="111">+D10+D34</f>
        <v>0</v>
      </c>
      <c r="E218" s="255">
        <f t="shared" si="111"/>
        <v>0</v>
      </c>
      <c r="F218" s="255">
        <f t="shared" si="111"/>
        <v>0</v>
      </c>
      <c r="G218" s="255">
        <f t="shared" si="111"/>
        <v>0</v>
      </c>
      <c r="H218" s="255">
        <f t="shared" si="111"/>
        <v>0</v>
      </c>
      <c r="I218" s="255">
        <f t="shared" si="111"/>
        <v>0</v>
      </c>
      <c r="J218" s="255">
        <f t="shared" si="111"/>
        <v>0</v>
      </c>
      <c r="K218" s="255">
        <f t="shared" si="111"/>
        <v>186177</v>
      </c>
      <c r="L218" s="255">
        <f t="shared" si="111"/>
        <v>169085.41915955037</v>
      </c>
      <c r="M218" s="255">
        <f t="shared" si="111"/>
        <v>123032.05490443435</v>
      </c>
      <c r="N218" s="255">
        <f t="shared" si="111"/>
        <v>170785.86755989114</v>
      </c>
      <c r="O218" s="255">
        <f t="shared" si="111"/>
        <v>229524.65243591147</v>
      </c>
      <c r="P218" s="255">
        <f t="shared" si="111"/>
        <v>289037.83423490875</v>
      </c>
      <c r="Q218" s="255">
        <f t="shared" si="111"/>
        <v>375836.82248720399</v>
      </c>
      <c r="R218" s="255">
        <f t="shared" si="111"/>
        <v>422521.81355468661</v>
      </c>
      <c r="S218" s="255">
        <f t="shared" si="111"/>
        <v>459536.66481264704</v>
      </c>
      <c r="T218" s="255">
        <f t="shared" si="111"/>
        <v>505214.14083250862</v>
      </c>
      <c r="U218" s="255">
        <f t="shared" si="111"/>
        <v>545976.84936238884</v>
      </c>
      <c r="V218" s="255">
        <f t="shared" si="111"/>
        <v>589100.41968117957</v>
      </c>
      <c r="W218" s="255">
        <f t="shared" si="111"/>
        <v>624531.62233911408</v>
      </c>
    </row>
    <row r="219" spans="2:32">
      <c r="B219" t="str">
        <f>+B13</f>
        <v>Equipos</v>
      </c>
      <c r="C219" s="255">
        <f>+C13</f>
        <v>0</v>
      </c>
      <c r="D219" s="255">
        <f t="shared" ref="D219:W219" si="112">+D13</f>
        <v>0</v>
      </c>
      <c r="E219" s="255">
        <f t="shared" si="112"/>
        <v>0</v>
      </c>
      <c r="F219" s="255">
        <f t="shared" si="112"/>
        <v>0</v>
      </c>
      <c r="G219" s="255">
        <f t="shared" si="112"/>
        <v>0</v>
      </c>
      <c r="H219" s="255">
        <f t="shared" si="112"/>
        <v>0</v>
      </c>
      <c r="I219" s="255">
        <f t="shared" si="112"/>
        <v>0</v>
      </c>
      <c r="J219" s="255">
        <f t="shared" si="112"/>
        <v>0</v>
      </c>
      <c r="K219" s="255">
        <f t="shared" si="112"/>
        <v>4126</v>
      </c>
      <c r="L219" s="255">
        <f t="shared" si="112"/>
        <v>4256</v>
      </c>
      <c r="M219" s="255">
        <f t="shared" si="112"/>
        <v>4256</v>
      </c>
      <c r="N219" s="255">
        <f t="shared" si="112"/>
        <v>4426.24</v>
      </c>
      <c r="O219" s="255">
        <f t="shared" si="112"/>
        <v>4603.2896000000001</v>
      </c>
      <c r="P219" s="255">
        <f t="shared" si="112"/>
        <v>4787.4211839999998</v>
      </c>
      <c r="Q219" s="255">
        <f t="shared" si="112"/>
        <v>4978.91803136</v>
      </c>
      <c r="R219" s="255">
        <f t="shared" si="112"/>
        <v>5178.0747526144005</v>
      </c>
      <c r="S219" s="255">
        <f t="shared" si="112"/>
        <v>5385.1977427189768</v>
      </c>
      <c r="T219" s="255">
        <f t="shared" si="112"/>
        <v>5600.6056524277365</v>
      </c>
      <c r="U219" s="255">
        <f t="shared" si="112"/>
        <v>5824.6298785248464</v>
      </c>
      <c r="V219" s="255">
        <f t="shared" si="112"/>
        <v>6057.6150736658401</v>
      </c>
      <c r="W219" s="255">
        <f t="shared" si="112"/>
        <v>6299.9196766124742</v>
      </c>
    </row>
    <row r="220" spans="2:32">
      <c r="B220" t="str">
        <f>+B16</f>
        <v>Renta Activos</v>
      </c>
      <c r="C220" s="255">
        <f>+C16</f>
        <v>0</v>
      </c>
      <c r="D220" s="255">
        <f t="shared" ref="D220:W220" si="113">+D16</f>
        <v>0</v>
      </c>
      <c r="E220" s="255">
        <f t="shared" si="113"/>
        <v>0</v>
      </c>
      <c r="F220" s="255">
        <f t="shared" si="113"/>
        <v>0</v>
      </c>
      <c r="G220" s="255">
        <f t="shared" si="113"/>
        <v>0</v>
      </c>
      <c r="H220" s="255">
        <f t="shared" si="113"/>
        <v>0</v>
      </c>
      <c r="I220" s="255">
        <f t="shared" si="113"/>
        <v>0</v>
      </c>
      <c r="J220" s="255">
        <f t="shared" si="113"/>
        <v>0</v>
      </c>
      <c r="K220" s="255">
        <f t="shared" si="113"/>
        <v>3334</v>
      </c>
      <c r="L220" s="255">
        <f t="shared" si="113"/>
        <v>4000</v>
      </c>
      <c r="M220" s="255">
        <f t="shared" si="113"/>
        <v>2611</v>
      </c>
      <c r="N220" s="255">
        <f t="shared" si="113"/>
        <v>3611</v>
      </c>
      <c r="O220" s="255">
        <f t="shared" si="113"/>
        <v>3755.44</v>
      </c>
      <c r="P220" s="255">
        <f t="shared" si="113"/>
        <v>3905.6576</v>
      </c>
      <c r="Q220" s="255">
        <f t="shared" si="113"/>
        <v>0</v>
      </c>
      <c r="R220" s="255">
        <f t="shared" si="113"/>
        <v>0</v>
      </c>
      <c r="S220" s="255">
        <f t="shared" si="113"/>
        <v>0</v>
      </c>
      <c r="T220" s="255">
        <f t="shared" si="113"/>
        <v>0</v>
      </c>
      <c r="U220" s="255">
        <f t="shared" si="113"/>
        <v>0</v>
      </c>
      <c r="V220" s="255">
        <f t="shared" si="113"/>
        <v>0</v>
      </c>
      <c r="W220" s="255">
        <f t="shared" si="113"/>
        <v>0</v>
      </c>
    </row>
    <row r="221" spans="2:32">
      <c r="B221" t="str">
        <f>+B112</f>
        <v>Retorno de inversion corporativa</v>
      </c>
      <c r="C221" s="255">
        <f>+C37</f>
        <v>0</v>
      </c>
      <c r="D221" s="255">
        <f t="shared" ref="D221:W221" si="114">+D37</f>
        <v>0</v>
      </c>
      <c r="E221" s="255">
        <f t="shared" si="114"/>
        <v>0</v>
      </c>
      <c r="F221" s="255">
        <f t="shared" si="114"/>
        <v>0</v>
      </c>
      <c r="G221" s="255">
        <f t="shared" si="114"/>
        <v>0</v>
      </c>
      <c r="H221" s="255">
        <f t="shared" si="114"/>
        <v>0</v>
      </c>
      <c r="I221" s="255">
        <f t="shared" si="114"/>
        <v>0</v>
      </c>
      <c r="J221" s="255">
        <f t="shared" si="114"/>
        <v>0</v>
      </c>
      <c r="K221" s="255">
        <f t="shared" si="114"/>
        <v>0</v>
      </c>
      <c r="L221" s="255">
        <f t="shared" si="114"/>
        <v>2427.513114233052</v>
      </c>
      <c r="M221" s="255">
        <f t="shared" si="114"/>
        <v>2349.7075542069483</v>
      </c>
      <c r="N221" s="255">
        <f t="shared" si="114"/>
        <v>3071.708196106501</v>
      </c>
      <c r="O221" s="255">
        <f t="shared" si="114"/>
        <v>3873.917521050596</v>
      </c>
      <c r="P221" s="255">
        <f t="shared" si="114"/>
        <v>3354.7762117367747</v>
      </c>
      <c r="Q221" s="255">
        <f t="shared" si="114"/>
        <v>4828.6659176049552</v>
      </c>
      <c r="R221" s="255">
        <f t="shared" si="114"/>
        <v>6699.7419039091528</v>
      </c>
      <c r="S221" s="255">
        <f t="shared" si="114"/>
        <v>7619.6617472299768</v>
      </c>
      <c r="T221" s="255">
        <f t="shared" si="114"/>
        <v>9012.5692859566861</v>
      </c>
      <c r="U221" s="255">
        <f t="shared" si="114"/>
        <v>9899.9578192162226</v>
      </c>
      <c r="V221" s="255">
        <f t="shared" si="114"/>
        <v>10863.269505841663</v>
      </c>
      <c r="W221" s="255">
        <f t="shared" si="114"/>
        <v>11860.433561212461</v>
      </c>
    </row>
    <row r="224" spans="2:32">
      <c r="B224" t="s">
        <v>623</v>
      </c>
    </row>
    <row r="225" spans="2:12">
      <c r="B225" t="str">
        <f t="shared" ref="B225:B231" si="115">+B215</f>
        <v>Inmobiliario</v>
      </c>
      <c r="L225" s="38">
        <f>+L62</f>
        <v>1965.6973211808261</v>
      </c>
    </row>
    <row r="226" spans="2:12">
      <c r="B226" t="str">
        <f t="shared" si="115"/>
        <v>Arquitectura</v>
      </c>
      <c r="L226" s="38">
        <f>+L65+L45</f>
        <v>3493.2034145088001</v>
      </c>
    </row>
    <row r="227" spans="2:12">
      <c r="B227" t="str">
        <f t="shared" si="115"/>
        <v>Preconstrucción</v>
      </c>
    </row>
    <row r="228" spans="2:12">
      <c r="B228" t="str">
        <f t="shared" si="115"/>
        <v>Construcción</v>
      </c>
      <c r="L228" s="38">
        <f>+L71+L48</f>
        <v>10529.48002709424</v>
      </c>
    </row>
    <row r="229" spans="2:12">
      <c r="B229" t="str">
        <f t="shared" si="115"/>
        <v>Equipos</v>
      </c>
      <c r="L229" s="38">
        <f>+L51</f>
        <v>583</v>
      </c>
    </row>
    <row r="230" spans="2:12">
      <c r="B230" t="str">
        <f t="shared" si="115"/>
        <v>Renta Activos</v>
      </c>
      <c r="L230" s="38">
        <f>+L54</f>
        <v>-200</v>
      </c>
    </row>
    <row r="231" spans="2:12">
      <c r="B231" t="str">
        <f t="shared" si="115"/>
        <v>Retorno de inversion corporativa</v>
      </c>
      <c r="L231" s="38">
        <f>+L74</f>
        <v>2427.513114233052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B1:U93"/>
  <sheetViews>
    <sheetView zoomScale="150" zoomScaleNormal="150" zoomScalePageLayoutView="150" workbookViewId="0">
      <pane xSplit="2" ySplit="1" topLeftCell="F29" activePane="bottomRight" state="frozen"/>
      <selection pane="topRight" activeCell="C1" sqref="C1"/>
      <selection pane="bottomLeft" activeCell="A2" sqref="A2"/>
      <selection pane="bottomRight" activeCell="G29" sqref="G29"/>
    </sheetView>
  </sheetViews>
  <sheetFormatPr baseColWidth="10" defaultRowHeight="16" outlineLevelRow="4"/>
  <cols>
    <col min="1" max="1" width="4.1640625" customWidth="1"/>
    <col min="2" max="2" width="43.83203125" bestFit="1" customWidth="1"/>
  </cols>
  <sheetData>
    <row r="1" spans="2:21">
      <c r="C1">
        <v>2018</v>
      </c>
      <c r="D1">
        <v>2019</v>
      </c>
      <c r="E1">
        <v>2020</v>
      </c>
      <c r="F1">
        <v>2021</v>
      </c>
      <c r="G1">
        <v>2022</v>
      </c>
      <c r="H1">
        <v>2023</v>
      </c>
      <c r="I1">
        <v>2024</v>
      </c>
      <c r="J1">
        <v>2025</v>
      </c>
      <c r="K1">
        <v>2026</v>
      </c>
      <c r="L1">
        <v>2027</v>
      </c>
      <c r="M1">
        <v>2028</v>
      </c>
      <c r="N1">
        <v>2029</v>
      </c>
      <c r="O1">
        <v>2030</v>
      </c>
      <c r="P1">
        <v>2031</v>
      </c>
      <c r="Q1">
        <v>2032</v>
      </c>
    </row>
    <row r="2" spans="2:21">
      <c r="B2" t="s">
        <v>691</v>
      </c>
      <c r="C2" s="2">
        <f t="shared" ref="C2:Q2" si="0">+SUBTOTAL(9,C3:C43)</f>
        <v>325889.03899999999</v>
      </c>
      <c r="D2" s="2">
        <f t="shared" si="0"/>
        <v>357262.12300000002</v>
      </c>
      <c r="E2" s="2">
        <f t="shared" si="0"/>
        <v>264212.79481926194</v>
      </c>
      <c r="F2" s="2">
        <f t="shared" si="0"/>
        <v>259860.22913682612</v>
      </c>
      <c r="G2" s="2">
        <f t="shared" si="0"/>
        <v>302416.43105888728</v>
      </c>
      <c r="H2" s="2">
        <f t="shared" si="0"/>
        <v>346992.56687148963</v>
      </c>
      <c r="I2" s="2">
        <f t="shared" si="0"/>
        <v>350434.19505533634</v>
      </c>
      <c r="J2" s="2">
        <f t="shared" si="0"/>
        <v>393526.25998276944</v>
      </c>
      <c r="K2" s="2">
        <f t="shared" si="0"/>
        <v>431034.6566093674</v>
      </c>
      <c r="L2" s="2">
        <f t="shared" si="0"/>
        <v>478591.31542113249</v>
      </c>
      <c r="M2" s="2">
        <f t="shared" si="0"/>
        <v>528940.66364233859</v>
      </c>
      <c r="N2" s="2">
        <f t="shared" si="0"/>
        <v>570947.58625936706</v>
      </c>
      <c r="O2" s="2">
        <f t="shared" si="0"/>
        <v>607629.49188285961</v>
      </c>
      <c r="P2" s="2">
        <f t="shared" si="0"/>
        <v>608498.77786024101</v>
      </c>
      <c r="Q2" s="2">
        <f t="shared" si="0"/>
        <v>620912.53907371161</v>
      </c>
      <c r="R2" s="2"/>
      <c r="S2" s="2"/>
      <c r="T2" s="2"/>
      <c r="U2" s="2"/>
    </row>
    <row r="3" spans="2:21" outlineLevel="1">
      <c r="B3" s="381" t="s">
        <v>686</v>
      </c>
      <c r="C3" s="2">
        <f t="shared" ref="C3:Q3" si="1">+SUBTOTAL(9,C4:C30)</f>
        <v>201164.32599999997</v>
      </c>
      <c r="D3" s="2">
        <f t="shared" si="1"/>
        <v>222658.59900000005</v>
      </c>
      <c r="E3" s="2">
        <f t="shared" si="1"/>
        <v>154266.63181926194</v>
      </c>
      <c r="F3" s="2">
        <f t="shared" si="1"/>
        <v>152531.06613682612</v>
      </c>
      <c r="G3" s="2">
        <f t="shared" si="1"/>
        <v>195087.26805888725</v>
      </c>
      <c r="H3" s="2">
        <f t="shared" si="1"/>
        <v>239663.40387148966</v>
      </c>
      <c r="I3" s="2">
        <f t="shared" si="1"/>
        <v>312173.03205533634</v>
      </c>
      <c r="J3" s="2">
        <f t="shared" si="1"/>
        <v>358598.09698276944</v>
      </c>
      <c r="K3" s="2">
        <f t="shared" si="1"/>
        <v>398440.4936093674</v>
      </c>
      <c r="L3" s="2">
        <f t="shared" si="1"/>
        <v>445997.15242113249</v>
      </c>
      <c r="M3" s="2">
        <f t="shared" si="1"/>
        <v>496346.50064233859</v>
      </c>
      <c r="N3" s="2">
        <f t="shared" si="1"/>
        <v>538353.42325936712</v>
      </c>
      <c r="O3" s="2">
        <f t="shared" si="1"/>
        <v>575035.32888285967</v>
      </c>
      <c r="P3" s="2">
        <f t="shared" si="1"/>
        <v>575904.61486024107</v>
      </c>
      <c r="Q3" s="2">
        <f t="shared" si="1"/>
        <v>588318.37607371167</v>
      </c>
      <c r="R3" s="2"/>
      <c r="S3" s="2"/>
      <c r="T3" s="2"/>
      <c r="U3" s="2"/>
    </row>
    <row r="4" spans="2:21" outlineLevel="2">
      <c r="B4" s="382" t="s">
        <v>680</v>
      </c>
      <c r="C4" s="2">
        <v>12778</v>
      </c>
      <c r="D4" s="2">
        <v>18248</v>
      </c>
      <c r="E4" s="2">
        <f>+'Flujo Caja'!H64</f>
        <v>2502.4910222584222</v>
      </c>
      <c r="F4" s="2">
        <f>+'Flujo Caja'!I64</f>
        <v>1501.695418256928</v>
      </c>
      <c r="G4" s="2">
        <f>+'Flujo Caja'!J64</f>
        <v>1326.5412857253386</v>
      </c>
      <c r="H4" s="2">
        <f>+'Flujo Caja'!K64</f>
        <v>750.79265910548929</v>
      </c>
      <c r="I4" s="2">
        <f>+'Flujo Caja'!L64</f>
        <v>500.50778122228348</v>
      </c>
      <c r="J4" s="2">
        <f>+'Flujo Caja'!M64</f>
        <v>3007.5205539166736</v>
      </c>
      <c r="K4" s="2">
        <f>+'Flujo Caja'!N64</f>
        <v>3711.5253893575891</v>
      </c>
      <c r="L4" s="2">
        <f>+'Flujo Caja'!O64</f>
        <v>1961.0344643901581</v>
      </c>
      <c r="M4" s="2">
        <f>+'Flujo Caja'!P64</f>
        <v>6652.353480428982</v>
      </c>
      <c r="N4" s="2">
        <f>+'Flujo Caja'!Q64</f>
        <v>6262.1294026589467</v>
      </c>
      <c r="O4" s="2">
        <f>+'Flujo Caja'!R64</f>
        <v>8712.0971275343109</v>
      </c>
      <c r="P4" s="2">
        <f>+'Flujo Caja'!S64</f>
        <v>408.07971937186085</v>
      </c>
      <c r="Q4" s="2">
        <f>+'Flujo Caja'!T64</f>
        <v>28941.387754304542</v>
      </c>
      <c r="R4" s="2"/>
      <c r="S4" s="2"/>
      <c r="T4" s="2"/>
      <c r="U4" s="2"/>
    </row>
    <row r="5" spans="2:21" outlineLevel="2">
      <c r="B5" s="382" t="s">
        <v>173</v>
      </c>
      <c r="C5" s="2"/>
      <c r="D5" s="2"/>
      <c r="E5" s="2">
        <f>-'Flujo Caja'!H51</f>
        <v>3000</v>
      </c>
      <c r="F5" s="2">
        <f>-'Flujo Caja'!I51+E5*1.045</f>
        <v>3541</v>
      </c>
      <c r="G5" s="2">
        <f>-'Flujo Caja'!J51+F5*1.045</f>
        <v>4106.3449999999993</v>
      </c>
      <c r="H5" s="2">
        <f>-'Flujo Caja'!K51+G5*1.045</f>
        <v>4697.1305249999987</v>
      </c>
      <c r="I5" s="2">
        <f>-'Flujo Caja'!L51+H5*1.045</f>
        <v>5314.5013986249987</v>
      </c>
      <c r="J5" s="2">
        <f>-'Flujo Caja'!M51+I5*1.045</f>
        <v>5959.6539615631236</v>
      </c>
      <c r="K5" s="2">
        <f>-'Flujo Caja'!N51+J5*1.045</f>
        <v>6633.8383898334641</v>
      </c>
      <c r="L5" s="2">
        <f>-'Flujo Caja'!O51+K5*1.045</f>
        <v>7338.3611173759691</v>
      </c>
      <c r="M5" s="2">
        <f>-'Flujo Caja'!P51+L5*1.045</f>
        <v>8074.5873676578876</v>
      </c>
      <c r="N5" s="2">
        <f>-'Flujo Caja'!Q51+M5*1.045</f>
        <v>8843.9437992024923</v>
      </c>
      <c r="O5" s="2">
        <f>-'Flujo Caja'!R51+N5*1.045</f>
        <v>9647.9212701666038</v>
      </c>
      <c r="P5" s="2">
        <f>-'Flujo Caja'!S51+O5*1.045</f>
        <v>11706.0777273241</v>
      </c>
      <c r="Q5" s="2">
        <f>-'Flujo Caja'!T51+P5*1.045</f>
        <v>12232.851225053684</v>
      </c>
      <c r="R5" s="2"/>
      <c r="S5" s="2"/>
      <c r="T5" s="2"/>
      <c r="U5" s="2"/>
    </row>
    <row r="6" spans="2:21" outlineLevel="2">
      <c r="B6" s="382" t="s">
        <v>681</v>
      </c>
      <c r="C6" s="2">
        <f>+SUBTOTAL(9,C7:C8)</f>
        <v>65374.876000000004</v>
      </c>
      <c r="D6" s="2">
        <f>+SUBTOTAL(9,D7:D8)</f>
        <v>53468.398999999998</v>
      </c>
      <c r="E6" s="2">
        <f>+SUBTOTAL(9,E7:E8)</f>
        <v>28234.199499999999</v>
      </c>
      <c r="F6" s="2">
        <f t="shared" ref="F6:Q6" si="2">+SUBTOTAL(9,F7:F8)</f>
        <v>3000</v>
      </c>
      <c r="G6" s="2">
        <f t="shared" si="2"/>
        <v>3000</v>
      </c>
      <c r="H6" s="2">
        <f t="shared" si="2"/>
        <v>0</v>
      </c>
      <c r="I6" s="2">
        <f t="shared" si="2"/>
        <v>0</v>
      </c>
      <c r="J6" s="2">
        <f t="shared" si="2"/>
        <v>0</v>
      </c>
      <c r="K6" s="2">
        <f t="shared" si="2"/>
        <v>0</v>
      </c>
      <c r="L6" s="2">
        <f t="shared" si="2"/>
        <v>0</v>
      </c>
      <c r="M6" s="2">
        <f t="shared" si="2"/>
        <v>0</v>
      </c>
      <c r="N6" s="2">
        <f t="shared" si="2"/>
        <v>0</v>
      </c>
      <c r="O6" s="2">
        <f t="shared" si="2"/>
        <v>0</v>
      </c>
      <c r="P6" s="2">
        <f t="shared" si="2"/>
        <v>0</v>
      </c>
      <c r="Q6" s="2">
        <f t="shared" si="2"/>
        <v>0</v>
      </c>
      <c r="R6" s="2"/>
      <c r="S6" s="2"/>
      <c r="T6" s="2"/>
      <c r="U6" s="2"/>
    </row>
    <row r="7" spans="2:21" outlineLevel="3">
      <c r="B7" s="383" t="s">
        <v>708</v>
      </c>
      <c r="C7" s="2">
        <v>62283.43</v>
      </c>
      <c r="D7" s="2">
        <v>50468.398999999998</v>
      </c>
      <c r="E7" s="2">
        <f>+D7/2</f>
        <v>25234.199499999999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2:21" outlineLevel="3">
      <c r="B8" s="383" t="s">
        <v>709</v>
      </c>
      <c r="C8" s="2">
        <v>3091.4459999999999</v>
      </c>
      <c r="D8" s="2">
        <v>3000</v>
      </c>
      <c r="E8" s="2">
        <f>+D8-'Venta Activos'!H29</f>
        <v>3000</v>
      </c>
      <c r="F8" s="2">
        <f>+E8-'Venta Activos'!I29</f>
        <v>3000</v>
      </c>
      <c r="G8" s="2">
        <f>+F8-'Venta Activos'!J29</f>
        <v>3000</v>
      </c>
      <c r="H8" s="2">
        <f>+G8-'Venta Activos'!K29</f>
        <v>0</v>
      </c>
      <c r="I8" s="2">
        <f>+H8-'Venta Activos'!L29</f>
        <v>0</v>
      </c>
      <c r="J8" s="2">
        <f>+I8-'Venta Activos'!M29</f>
        <v>0</v>
      </c>
      <c r="K8" s="2">
        <f>+J8-'Venta Activos'!N29</f>
        <v>0</v>
      </c>
      <c r="L8" s="2">
        <f>+K8-'Venta Activos'!O29</f>
        <v>0</v>
      </c>
      <c r="M8" s="2">
        <f>+L8-'Venta Activos'!P29</f>
        <v>0</v>
      </c>
      <c r="N8" s="2">
        <f>+M8-'Venta Activos'!Q29</f>
        <v>0</v>
      </c>
      <c r="O8" s="2">
        <f>+N8-'Venta Activos'!R29</f>
        <v>0</v>
      </c>
      <c r="P8" s="2">
        <f>+O8-'Venta Activos'!S29</f>
        <v>0</v>
      </c>
      <c r="Q8" s="2">
        <f>+P8-'Venta Activos'!T29</f>
        <v>0</v>
      </c>
      <c r="R8" s="2"/>
      <c r="S8" s="2"/>
      <c r="T8" s="2"/>
      <c r="U8" s="2"/>
    </row>
    <row r="9" spans="2:21" outlineLevel="2">
      <c r="B9" s="382" t="s">
        <v>682</v>
      </c>
      <c r="C9" s="2">
        <f>+SUBTOTAL(9,C10:C17)</f>
        <v>60542.320000000007</v>
      </c>
      <c r="D9" s="2">
        <f>+SUBTOTAL(9,D10:D17)</f>
        <v>79227.812000000005</v>
      </c>
      <c r="E9" s="2">
        <f t="shared" ref="E9:Q9" si="3">+SUBTOTAL(9,E10:E17)</f>
        <v>47593.380926250764</v>
      </c>
      <c r="F9" s="2">
        <f t="shared" si="3"/>
        <v>86624.744206568488</v>
      </c>
      <c r="G9" s="2">
        <f t="shared" si="3"/>
        <v>121998.49840932507</v>
      </c>
      <c r="H9" s="2">
        <f t="shared" si="3"/>
        <v>166677.74961923243</v>
      </c>
      <c r="I9" s="2">
        <f t="shared" si="3"/>
        <v>200568.93659417343</v>
      </c>
      <c r="J9" s="2">
        <f t="shared" si="3"/>
        <v>220028.87433224195</v>
      </c>
      <c r="K9" s="2">
        <f t="shared" si="3"/>
        <v>240747.05811761876</v>
      </c>
      <c r="L9" s="2">
        <f t="shared" si="3"/>
        <v>270612.2088236612</v>
      </c>
      <c r="M9" s="2">
        <f t="shared" si="3"/>
        <v>298640.56508976064</v>
      </c>
      <c r="N9" s="2">
        <f t="shared" si="3"/>
        <v>322200.02906535915</v>
      </c>
      <c r="O9" s="2">
        <f t="shared" si="3"/>
        <v>333392.43859094603</v>
      </c>
      <c r="P9" s="2">
        <f t="shared" si="3"/>
        <v>322120.60691399541</v>
      </c>
      <c r="Q9" s="2">
        <f t="shared" si="3"/>
        <v>291495.85417350096</v>
      </c>
      <c r="R9" s="2"/>
      <c r="S9" s="2"/>
      <c r="T9" s="2"/>
      <c r="U9" s="2"/>
    </row>
    <row r="10" spans="2:21" outlineLevel="3">
      <c r="B10" s="383" t="s">
        <v>754</v>
      </c>
      <c r="C10" s="2">
        <f>14327.685+0</f>
        <v>14327.684999999999</v>
      </c>
      <c r="D10" s="2">
        <f>27902.176+5190.532</f>
        <v>33092.707999999999</v>
      </c>
      <c r="E10" s="64">
        <f>+D10+PyG!M24-'Proyectos Inmob detall'!H535-'Proyectos Inmob detall'!H595</f>
        <v>15411.779436869765</v>
      </c>
      <c r="F10" s="64">
        <f>+E10+PyG!N24-'Proyectos Inmob detall'!I535-'Proyectos Inmob detall'!I595</f>
        <v>55454.753562956947</v>
      </c>
      <c r="G10" s="64">
        <f>+F10+PyG!O24-'Proyectos Inmob detall'!J535-'Proyectos Inmob detall'!J595</f>
        <v>81388.561404382344</v>
      </c>
      <c r="H10" s="64">
        <f>+G10+PyG!P24-'Proyectos Inmob detall'!K535-'Proyectos Inmob detall'!K595</f>
        <v>115320.68981956541</v>
      </c>
      <c r="I10" s="64">
        <f>+H10+PyG!Q24-'Proyectos Inmob detall'!L535-'Proyectos Inmob detall'!L595</f>
        <v>139469.33214381282</v>
      </c>
      <c r="J10" s="64">
        <f>+I10+PyG!R24-'Proyectos Inmob detall'!M535-'Proyectos Inmob detall'!M595</f>
        <v>153248.24837257317</v>
      </c>
      <c r="K10" s="64">
        <f>+J10+PyG!S24-'Proyectos Inmob detall'!N535-'Proyectos Inmob detall'!N595</f>
        <v>167903.30249826069</v>
      </c>
      <c r="L10" s="64">
        <f>+K10+PyG!T24-'Proyectos Inmob detall'!O535-'Proyectos Inmob detall'!O595</f>
        <v>191375.45517247412</v>
      </c>
      <c r="M10" s="64">
        <f>+L10+PyG!U24-'Proyectos Inmob detall'!P535-'Proyectos Inmob detall'!P595</f>
        <v>212661.34979106724</v>
      </c>
      <c r="N10" s="64">
        <f>+M10+PyG!V24-'Proyectos Inmob detall'!Q535-'Proyectos Inmob detall'!Q595</f>
        <v>230879.48704682355</v>
      </c>
      <c r="O10" s="64">
        <f>+N10+PyG!W24-'Proyectos Inmob detall'!R535-'Proyectos Inmob detall'!R595</f>
        <v>244468.11289847654</v>
      </c>
      <c r="P10" s="64">
        <f>+O10+PyG!X24-'Proyectos Inmob detall'!S535-'Proyectos Inmob detall'!S595</f>
        <v>235644.29564240581</v>
      </c>
      <c r="Q10" s="64">
        <f>+P10+PyG!Y24-'Proyectos Inmob detall'!T535-'Proyectos Inmob detall'!T595</f>
        <v>199282.49851122755</v>
      </c>
      <c r="R10" s="2"/>
      <c r="S10" s="2"/>
      <c r="T10" s="2"/>
      <c r="U10" s="2"/>
    </row>
    <row r="11" spans="2:21" outlineLevel="3">
      <c r="B11" s="383" t="s">
        <v>739</v>
      </c>
      <c r="C11" s="2">
        <f>+SUBTOTAL(9,C12:C13)</f>
        <v>10329.699000000001</v>
      </c>
      <c r="D11" s="2">
        <f t="shared" ref="D11:Q11" si="4">+SUBTOTAL(9,D12:D13)</f>
        <v>19773.323999999997</v>
      </c>
      <c r="E11" s="2">
        <f t="shared" si="4"/>
        <v>17060.950499999999</v>
      </c>
      <c r="F11" s="2">
        <f t="shared" si="4"/>
        <v>11484.235447734998</v>
      </c>
      <c r="G11" s="2">
        <f t="shared" si="4"/>
        <v>17506.584247734998</v>
      </c>
      <c r="H11" s="2">
        <f t="shared" si="4"/>
        <v>20969.826999735</v>
      </c>
      <c r="I11" s="2">
        <f t="shared" si="4"/>
        <v>23771.599461815</v>
      </c>
      <c r="J11" s="2">
        <f t="shared" si="4"/>
        <v>26942.649448272601</v>
      </c>
      <c r="K11" s="2">
        <f t="shared" si="4"/>
        <v>30314.029041586906</v>
      </c>
      <c r="L11" s="2">
        <f t="shared" si="4"/>
        <v>33820.263818633786</v>
      </c>
      <c r="M11" s="2">
        <f t="shared" si="4"/>
        <v>37466.747986762537</v>
      </c>
      <c r="N11" s="2">
        <f t="shared" si="4"/>
        <v>39487.644895722042</v>
      </c>
      <c r="O11" s="2">
        <f t="shared" si="4"/>
        <v>34617.543037118194</v>
      </c>
      <c r="P11" s="2">
        <f t="shared" si="4"/>
        <v>28429.627554576364</v>
      </c>
      <c r="Q11" s="2">
        <f t="shared" si="4"/>
        <v>30155.434115014079</v>
      </c>
      <c r="R11" s="2"/>
      <c r="S11" s="2"/>
      <c r="T11" s="2"/>
      <c r="U11" s="2"/>
    </row>
    <row r="12" spans="2:21" hidden="1" outlineLevel="4">
      <c r="B12" s="384" t="s">
        <v>752</v>
      </c>
      <c r="C12" s="2"/>
      <c r="D12" s="2">
        <v>12848.746999999999</v>
      </c>
      <c r="E12" s="2">
        <f>+D12/2</f>
        <v>6424.3734999999997</v>
      </c>
      <c r="F12" s="2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2:21" hidden="1" outlineLevel="4">
      <c r="B13" s="384" t="s">
        <v>753</v>
      </c>
      <c r="C13" s="2">
        <f>10132.159+197.54+0</f>
        <v>10329.699000000001</v>
      </c>
      <c r="D13" s="2">
        <v>6924.5769999999975</v>
      </c>
      <c r="E13" s="64">
        <f>+D13-'Flujo Caja'!H35</f>
        <v>10636.576999999997</v>
      </c>
      <c r="F13" s="64">
        <f>+E13-'Flujo Caja'!I35</f>
        <v>11484.235447734998</v>
      </c>
      <c r="G13" s="64">
        <f>+F13-'Flujo Caja'!J35</f>
        <v>17506.584247734998</v>
      </c>
      <c r="H13" s="64">
        <f>+G13-'Flujo Caja'!K35</f>
        <v>20969.826999735</v>
      </c>
      <c r="I13" s="64">
        <f>+H13-'Flujo Caja'!L35</f>
        <v>23771.599461815</v>
      </c>
      <c r="J13" s="64">
        <f>+I13-'Flujo Caja'!M35</f>
        <v>26942.649448272601</v>
      </c>
      <c r="K13" s="64">
        <f>+J13-'Flujo Caja'!N35</f>
        <v>30314.029041586906</v>
      </c>
      <c r="L13" s="64">
        <f>+K13-'Flujo Caja'!O35</f>
        <v>33820.263818633786</v>
      </c>
      <c r="M13" s="64">
        <f>+L13-'Flujo Caja'!P35</f>
        <v>37466.747986762537</v>
      </c>
      <c r="N13" s="64">
        <f>+M13-'Flujo Caja'!Q35</f>
        <v>39487.644895722042</v>
      </c>
      <c r="O13" s="64">
        <f>+N13-'Flujo Caja'!R35</f>
        <v>34617.543037118194</v>
      </c>
      <c r="P13" s="64">
        <f>+O13-'Flujo Caja'!S35</f>
        <v>28429.627554576364</v>
      </c>
      <c r="Q13" s="64">
        <f>+P13-'Flujo Caja'!T35</f>
        <v>30155.434115014079</v>
      </c>
      <c r="R13" s="2"/>
      <c r="S13" s="2"/>
      <c r="T13" s="2"/>
      <c r="U13" s="2"/>
    </row>
    <row r="14" spans="2:21" outlineLevel="3" collapsed="1">
      <c r="B14" s="383" t="s">
        <v>740</v>
      </c>
      <c r="C14" s="2">
        <f>18412.964+1073.27</f>
        <v>19486.234</v>
      </c>
      <c r="D14" s="2">
        <f>11272.865+636.936</f>
        <v>11909.800999999999</v>
      </c>
      <c r="E14" s="2">
        <f>0.0833333333333333*PyG!M6</f>
        <v>9603.6666666666624</v>
      </c>
      <c r="F14" s="2">
        <f>0.0833333333333333*PyG!N6</f>
        <v>13034.519999999995</v>
      </c>
      <c r="G14" s="2">
        <f>0.0833333333333333*PyG!O6</f>
        <v>15602.97746666666</v>
      </c>
      <c r="H14" s="2">
        <f>0.0833333333333333*PyG!P6</f>
        <v>21077.096565333326</v>
      </c>
      <c r="I14" s="2">
        <f>0.0833333333333333*PyG!Q6</f>
        <v>26293.356769279995</v>
      </c>
      <c r="J14" s="2">
        <f>0.0833333333333333*PyG!R6</f>
        <v>28179.697973384526</v>
      </c>
      <c r="K14" s="2">
        <f>0.0833333333333333*PyG!S6</f>
        <v>30202.652821727908</v>
      </c>
      <c r="L14" s="2">
        <f>0.0833333333333333*PyG!T6</f>
        <v>32372.167664592049</v>
      </c>
      <c r="M14" s="2">
        <f>0.0833333333333333*PyG!U6</f>
        <v>34698.915132904782</v>
      </c>
      <c r="N14" s="2">
        <f>0.0833333333333333*PyG!V6</f>
        <v>37194.347256569534</v>
      </c>
      <c r="O14" s="2">
        <f>0.0833333333333333*PyG!W6</f>
        <v>39053.568435686429</v>
      </c>
      <c r="P14" s="2">
        <f>0.0833333333333333*PyG!X6</f>
        <v>41864.249516193406</v>
      </c>
      <c r="Q14" s="2">
        <f>0.0833333333333333*PyG!Y6</f>
        <v>44878.850729701546</v>
      </c>
      <c r="R14" s="2"/>
      <c r="S14" s="2"/>
      <c r="T14" s="2"/>
      <c r="U14" s="2"/>
    </row>
    <row r="15" spans="2:21" outlineLevel="3">
      <c r="B15" s="383" t="s">
        <v>741</v>
      </c>
      <c r="C15" s="2">
        <f>3673.246+4428.72+769.558+354.537</f>
        <v>9226.0610000000015</v>
      </c>
      <c r="D15" s="2">
        <f>7252.525+1568.856+758.152+281.54</f>
        <v>9861.0730000000003</v>
      </c>
      <c r="E15" s="64">
        <f>+(D15-7252.525)/PyG!L6*PyG!M6</f>
        <v>2022.5623227143374</v>
      </c>
      <c r="F15" s="64">
        <f>+E15/PyG!M6*PyG!N6</f>
        <v>2745.1107958765556</v>
      </c>
      <c r="G15" s="64">
        <f>+F15/PyG!N6*PyG!O6</f>
        <v>3286.0359945410569</v>
      </c>
      <c r="H15" s="64">
        <f>+G15/PyG!O6*PyG!P6</f>
        <v>4438.9026467587</v>
      </c>
      <c r="I15" s="64">
        <f>+H15/PyG!P6*PyG!Q6</f>
        <v>5537.4634069520362</v>
      </c>
      <c r="J15" s="64">
        <f>+I15/PyG!Q6*PyG!R6</f>
        <v>5934.7327812054909</v>
      </c>
      <c r="K15" s="64">
        <f>+J15/PyG!R6*PyG!S6</f>
        <v>6360.7734174359193</v>
      </c>
      <c r="L15" s="64">
        <f>+K15/PyG!S6*PyG!T6</f>
        <v>6817.6800482102617</v>
      </c>
      <c r="M15" s="64">
        <f>+L15/PyG!T6*PyG!U6</f>
        <v>7307.7003630775325</v>
      </c>
      <c r="N15" s="64">
        <f>+M15/PyG!U6*PyG!V6</f>
        <v>7833.2461954556538</v>
      </c>
      <c r="O15" s="64">
        <f>+N15/PyG!V6*PyG!W6</f>
        <v>8224.8040073824541</v>
      </c>
      <c r="P15" s="64">
        <f>+O15/PyG!W6*PyG!X6</f>
        <v>8816.7422588766185</v>
      </c>
      <c r="Q15" s="64">
        <f>+P15/PyG!X6*PyG!Y6</f>
        <v>9451.6267299936026</v>
      </c>
      <c r="R15" s="2"/>
      <c r="S15" s="2"/>
      <c r="T15" s="2"/>
      <c r="U15" s="2"/>
    </row>
    <row r="16" spans="2:21" outlineLevel="3">
      <c r="B16" s="383" t="s">
        <v>742</v>
      </c>
      <c r="C16" s="2">
        <f>257.56+5130.984</f>
        <v>5388.5440000000008</v>
      </c>
      <c r="D16" s="2">
        <f>2947.83+880.482</f>
        <v>3828.3119999999999</v>
      </c>
      <c r="E16" s="2">
        <f>+D16-'Flujo Caja'!H10</f>
        <v>3494.422</v>
      </c>
      <c r="F16" s="2">
        <f>+E16-'Flujo Caja'!I10</f>
        <v>3906.1243999999997</v>
      </c>
      <c r="G16" s="2">
        <f>+F16-'Flujo Caja'!J10</f>
        <v>4214.3392960000001</v>
      </c>
      <c r="H16" s="2">
        <f>+G16-'Flujo Caja'!K10</f>
        <v>4871.2335878399999</v>
      </c>
      <c r="I16" s="2">
        <f>+H16-'Flujo Caja'!L10</f>
        <v>5497.1848123136006</v>
      </c>
      <c r="J16" s="2">
        <f>+I16-'Flujo Caja'!M10</f>
        <v>5723.5457568061447</v>
      </c>
      <c r="K16" s="2">
        <f>+J16-'Flujo Caja'!N10</f>
        <v>5966.3003386073506</v>
      </c>
      <c r="L16" s="2">
        <f>+K16-'Flujo Caja'!O10</f>
        <v>6226.6421197510472</v>
      </c>
      <c r="M16" s="2">
        <f>+L16-'Flujo Caja'!P10</f>
        <v>6505.8518159485757</v>
      </c>
      <c r="N16" s="2">
        <f>+M16-'Flujo Caja'!Q10</f>
        <v>6805.3036707883457</v>
      </c>
      <c r="O16" s="2">
        <f>+N16-'Flujo Caja'!R10</f>
        <v>7028.4102122823724</v>
      </c>
      <c r="P16" s="2">
        <f>+O16-'Flujo Caja'!S10</f>
        <v>7365.6919419432106</v>
      </c>
      <c r="Q16" s="2">
        <f>+P16-'Flujo Caja'!T10</f>
        <v>7727.4440875641876</v>
      </c>
      <c r="R16" s="2"/>
      <c r="S16" s="2"/>
      <c r="T16" s="2"/>
      <c r="U16" s="2"/>
    </row>
    <row r="17" spans="2:21" outlineLevel="3">
      <c r="B17" s="383" t="s">
        <v>743</v>
      </c>
      <c r="C17" s="2">
        <v>1784.097</v>
      </c>
      <c r="D17" s="2">
        <v>762.59400000000005</v>
      </c>
      <c r="E17" s="64">
        <v>0</v>
      </c>
      <c r="F17" s="64">
        <f>+E17/PyG!M6*PyG!N6</f>
        <v>0</v>
      </c>
      <c r="G17" s="64">
        <f>+F17/PyG!N6*PyG!O6</f>
        <v>0</v>
      </c>
      <c r="H17" s="64">
        <f>+G17/PyG!O6*PyG!P6</f>
        <v>0</v>
      </c>
      <c r="I17" s="64">
        <f>+H17/PyG!P6*PyG!Q6</f>
        <v>0</v>
      </c>
      <c r="J17" s="64">
        <f>+I17/PyG!Q6*PyG!R6</f>
        <v>0</v>
      </c>
      <c r="K17" s="64">
        <f>+J17/PyG!R6*PyG!S6</f>
        <v>0</v>
      </c>
      <c r="L17" s="64">
        <f>+K17/PyG!S6*PyG!T6</f>
        <v>0</v>
      </c>
      <c r="M17" s="64">
        <f>+L17/PyG!T6*PyG!U6</f>
        <v>0</v>
      </c>
      <c r="N17" s="64">
        <f>+M17/PyG!U6*PyG!V6</f>
        <v>0</v>
      </c>
      <c r="O17" s="64">
        <f>+N17/PyG!V6*PyG!W6</f>
        <v>0</v>
      </c>
      <c r="P17" s="64">
        <f>+O17/PyG!W6*PyG!X6</f>
        <v>0</v>
      </c>
      <c r="Q17" s="64">
        <f>+P17/PyG!X6*PyG!Y6</f>
        <v>0</v>
      </c>
      <c r="R17" s="2"/>
      <c r="S17" s="2"/>
      <c r="T17" s="2"/>
      <c r="U17" s="2"/>
    </row>
    <row r="18" spans="2:21" outlineLevel="2">
      <c r="B18" s="382" t="s">
        <v>361</v>
      </c>
      <c r="C18" s="2">
        <v>37856</v>
      </c>
      <c r="D18" s="2">
        <v>38386</v>
      </c>
      <c r="E18" s="2">
        <v>58373.684370752773</v>
      </c>
      <c r="F18" s="2">
        <v>43484.895673332416</v>
      </c>
      <c r="G18" s="2">
        <v>48722.479354291543</v>
      </c>
      <c r="H18" s="2">
        <v>50486.45568343834</v>
      </c>
      <c r="I18" s="2">
        <v>95803.208278039529</v>
      </c>
      <c r="J18" s="2">
        <v>117787.57916396513</v>
      </c>
      <c r="K18" s="2">
        <v>134657.60249671346</v>
      </c>
      <c r="L18" s="2">
        <v>152366.60584865493</v>
      </c>
      <c r="M18" s="2">
        <v>168280.18693965347</v>
      </c>
      <c r="N18" s="2">
        <v>185306.81585574063</v>
      </c>
      <c r="O18" s="2">
        <v>206531.08320144442</v>
      </c>
      <c r="P18" s="2">
        <v>224081.86237300752</v>
      </c>
      <c r="Q18" s="2">
        <v>237195.494525888</v>
      </c>
      <c r="R18" s="2"/>
      <c r="S18" s="2"/>
      <c r="T18" s="2"/>
      <c r="U18" s="2"/>
    </row>
    <row r="19" spans="2:21" outlineLevel="2">
      <c r="B19" s="382" t="s">
        <v>683</v>
      </c>
      <c r="C19" s="2">
        <f>+SUBTOTAL(9,C20:C21)</f>
        <v>5735.3079999999991</v>
      </c>
      <c r="D19" s="2">
        <f>+SUBTOTAL(9,D20:D21)</f>
        <v>7480.7749999999996</v>
      </c>
      <c r="E19" s="2">
        <f t="shared" ref="E19:Q19" si="5">+SUBTOTAL(9,E20:E21)</f>
        <v>3870.3719999999994</v>
      </c>
      <c r="F19" s="2">
        <f t="shared" si="5"/>
        <v>3202.5919999999996</v>
      </c>
      <c r="G19" s="2">
        <f t="shared" si="5"/>
        <v>4025.9967999999994</v>
      </c>
      <c r="H19" s="2">
        <f t="shared" si="5"/>
        <v>4642.4265919999998</v>
      </c>
      <c r="I19" s="2">
        <f t="shared" si="5"/>
        <v>5956.2151756799994</v>
      </c>
      <c r="J19" s="2">
        <f t="shared" si="5"/>
        <v>7208.1176246272007</v>
      </c>
      <c r="K19" s="2">
        <f t="shared" si="5"/>
        <v>7660.839513612289</v>
      </c>
      <c r="L19" s="2">
        <f t="shared" si="5"/>
        <v>8146.3486772147016</v>
      </c>
      <c r="M19" s="2">
        <f t="shared" si="5"/>
        <v>8667.0322395020958</v>
      </c>
      <c r="N19" s="2">
        <f t="shared" si="5"/>
        <v>9225.4516318971528</v>
      </c>
      <c r="O19" s="2">
        <f t="shared" si="5"/>
        <v>9824.3553415766928</v>
      </c>
      <c r="P19" s="2">
        <f t="shared" si="5"/>
        <v>10270.568424564746</v>
      </c>
      <c r="Q19" s="2">
        <f t="shared" si="5"/>
        <v>10945.131883886423</v>
      </c>
      <c r="R19" s="2"/>
      <c r="S19" s="2"/>
      <c r="T19" s="2"/>
      <c r="U19" s="2"/>
    </row>
    <row r="20" spans="2:21" outlineLevel="3">
      <c r="B20" s="383" t="s">
        <v>765</v>
      </c>
      <c r="C20" s="2">
        <f>5735.308-C21</f>
        <v>4448.1229999999996</v>
      </c>
      <c r="D20" s="2">
        <f>7480.775-D21</f>
        <v>5044.1319999999996</v>
      </c>
      <c r="E20" s="2">
        <f>+D20-'Flujo Caja'!G9</f>
        <v>3870.3719999999994</v>
      </c>
      <c r="F20" s="2">
        <f>+E20-'Flujo Caja'!H9</f>
        <v>3202.5919999999996</v>
      </c>
      <c r="G20" s="2">
        <f>+F20-'Flujo Caja'!I9</f>
        <v>4025.9967999999994</v>
      </c>
      <c r="H20" s="2">
        <f>+G20-'Flujo Caja'!J9</f>
        <v>4642.4265919999998</v>
      </c>
      <c r="I20" s="2">
        <f>+H20-'Flujo Caja'!K9</f>
        <v>5956.2151756799994</v>
      </c>
      <c r="J20" s="2">
        <f>+I20-'Flujo Caja'!L9</f>
        <v>7208.1176246272007</v>
      </c>
      <c r="K20" s="2">
        <f>+J20-'Flujo Caja'!M9</f>
        <v>7660.839513612289</v>
      </c>
      <c r="L20" s="2">
        <f>+K20-'Flujo Caja'!N9</f>
        <v>8146.3486772147016</v>
      </c>
      <c r="M20" s="2">
        <f>+L20-'Flujo Caja'!O9</f>
        <v>8667.0322395020958</v>
      </c>
      <c r="N20" s="2">
        <f>+M20-'Flujo Caja'!P9</f>
        <v>9225.4516318971528</v>
      </c>
      <c r="O20" s="2">
        <f>+N20-'Flujo Caja'!Q9</f>
        <v>9824.3553415766928</v>
      </c>
      <c r="P20" s="2">
        <f>+O20-'Flujo Caja'!R9</f>
        <v>10270.568424564746</v>
      </c>
      <c r="Q20" s="2">
        <f>+P20-'Flujo Caja'!S9</f>
        <v>10945.131883886423</v>
      </c>
      <c r="R20" s="2"/>
      <c r="S20" s="2"/>
      <c r="T20" s="2"/>
      <c r="U20" s="2"/>
    </row>
    <row r="21" spans="2:21" outlineLevel="3">
      <c r="B21" s="383" t="s">
        <v>766</v>
      </c>
      <c r="C21" s="2">
        <v>1287.1849999999999</v>
      </c>
      <c r="D21" s="2">
        <v>2436.643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 outlineLevel="2">
      <c r="B22" s="382" t="s">
        <v>684</v>
      </c>
      <c r="C22" s="2">
        <f>+SUBTOTAL(9,C23:C27)</f>
        <v>13828.822</v>
      </c>
      <c r="D22" s="2">
        <f>+SUBTOTAL(9,D23:D27)</f>
        <v>16009.613000000001</v>
      </c>
      <c r="E22" s="2">
        <f t="shared" ref="E22:Q22" si="6">+SUBTOTAL(9,E23:E27)</f>
        <v>10692.504000000001</v>
      </c>
      <c r="F22" s="2">
        <f t="shared" si="6"/>
        <v>11176.138838668299</v>
      </c>
      <c r="G22" s="2">
        <f t="shared" si="6"/>
        <v>11907.407209545312</v>
      </c>
      <c r="H22" s="2">
        <f t="shared" si="6"/>
        <v>12408.848792713414</v>
      </c>
      <c r="I22" s="2">
        <f t="shared" si="6"/>
        <v>4029.6628275960743</v>
      </c>
      <c r="J22" s="2">
        <f t="shared" si="6"/>
        <v>4606.351346455418</v>
      </c>
      <c r="K22" s="2">
        <f t="shared" si="6"/>
        <v>5029.6297022319204</v>
      </c>
      <c r="L22" s="2">
        <f t="shared" si="6"/>
        <v>5572.5934898355081</v>
      </c>
      <c r="M22" s="2">
        <f t="shared" si="6"/>
        <v>6031.7755253354981</v>
      </c>
      <c r="N22" s="2">
        <f t="shared" si="6"/>
        <v>6515.0535045087718</v>
      </c>
      <c r="O22" s="2">
        <f t="shared" si="6"/>
        <v>6927.4333511915538</v>
      </c>
      <c r="P22" s="2">
        <f t="shared" si="6"/>
        <v>7317.4197019773728</v>
      </c>
      <c r="Q22" s="2">
        <f t="shared" si="6"/>
        <v>7507.656511078002</v>
      </c>
      <c r="R22" s="2"/>
      <c r="S22" s="2"/>
      <c r="T22" s="2"/>
      <c r="U22" s="2"/>
    </row>
    <row r="23" spans="2:21" outlineLevel="3">
      <c r="B23" s="383" t="s">
        <v>748</v>
      </c>
      <c r="C23" s="2">
        <v>6533.2209999999995</v>
      </c>
      <c r="D23" s="2">
        <v>8174.5420000000004</v>
      </c>
      <c r="E23" s="2">
        <f>+D23</f>
        <v>8174.5420000000004</v>
      </c>
      <c r="F23" s="2">
        <f>+E23</f>
        <v>8174.5420000000004</v>
      </c>
      <c r="G23" s="2">
        <f>+F23</f>
        <v>8174.5420000000004</v>
      </c>
      <c r="H23" s="2">
        <f>+G23</f>
        <v>8174.5420000000004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2:21" outlineLevel="3">
      <c r="B24" s="383" t="s">
        <v>764</v>
      </c>
      <c r="C24" s="2">
        <v>884.81100000000004</v>
      </c>
      <c r="D24" s="2">
        <v>1424.2809999999999</v>
      </c>
      <c r="E24" s="2">
        <v>1424.2809999999999</v>
      </c>
      <c r="F24" s="2">
        <f>+E24/PyG!M5*PyG!N5</f>
        <v>1907.9158386682982</v>
      </c>
      <c r="G24" s="2">
        <f>+F24/PyG!N5*PyG!O5</f>
        <v>2639.1842095453117</v>
      </c>
      <c r="H24" s="2">
        <f>+G24/PyG!O5*PyG!P5</f>
        <v>3140.6257927134134</v>
      </c>
      <c r="I24" s="2">
        <f>+H24/PyG!P5*PyG!Q5</f>
        <v>4029.6628275960743</v>
      </c>
      <c r="J24" s="2">
        <f>+I24/PyG!Q5*PyG!R5</f>
        <v>4606.351346455418</v>
      </c>
      <c r="K24" s="2">
        <f>+J24/PyG!R5*PyG!S5</f>
        <v>5029.6297022319204</v>
      </c>
      <c r="L24" s="2">
        <f>+K24/PyG!S5*PyG!T5</f>
        <v>5572.5934898355081</v>
      </c>
      <c r="M24" s="2">
        <f>+L24/PyG!T5*PyG!U5</f>
        <v>6031.7755253354981</v>
      </c>
      <c r="N24" s="2">
        <f>+M24/PyG!U5*PyG!V5</f>
        <v>6515.0535045087718</v>
      </c>
      <c r="O24" s="2">
        <f>+N24/PyG!V5*PyG!W5</f>
        <v>6927.4333511915538</v>
      </c>
      <c r="P24" s="2">
        <f>+O24/PyG!W5*PyG!X5</f>
        <v>7317.4197019773728</v>
      </c>
      <c r="Q24" s="2">
        <f>+P24/PyG!X5*PyG!Y5</f>
        <v>7507.656511078002</v>
      </c>
      <c r="R24" s="2"/>
      <c r="S24" s="2"/>
      <c r="T24" s="2"/>
      <c r="U24" s="2"/>
    </row>
    <row r="25" spans="2:21" outlineLevel="3">
      <c r="B25" s="383" t="s">
        <v>750</v>
      </c>
      <c r="C25" s="2">
        <v>5317.1090000000004</v>
      </c>
      <c r="D25" s="2">
        <v>5317.1090000000004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/>
      <c r="R25" s="2"/>
      <c r="S25" s="2"/>
      <c r="T25" s="2"/>
      <c r="U25" s="2"/>
    </row>
    <row r="26" spans="2:21" outlineLevel="3">
      <c r="B26" s="383" t="s">
        <v>751</v>
      </c>
      <c r="C26" s="2">
        <v>999.64099999999996</v>
      </c>
      <c r="D26" s="2">
        <v>999.64099999999996</v>
      </c>
      <c r="E26" s="2">
        <v>999.64099999999996</v>
      </c>
      <c r="F26" s="2">
        <v>999.64099999999996</v>
      </c>
      <c r="G26" s="2">
        <v>999.64099999999996</v>
      </c>
      <c r="H26" s="2">
        <v>999.64099999999996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/>
      <c r="R26" s="2"/>
      <c r="S26" s="2"/>
      <c r="T26" s="2"/>
      <c r="U26" s="2"/>
    </row>
    <row r="27" spans="2:21" outlineLevel="3">
      <c r="B27" s="383" t="s">
        <v>749</v>
      </c>
      <c r="C27" s="2">
        <v>94.04</v>
      </c>
      <c r="D27" s="2">
        <v>94.04</v>
      </c>
      <c r="E27" s="2">
        <v>94.04</v>
      </c>
      <c r="F27" s="2">
        <v>94.04</v>
      </c>
      <c r="G27" s="2">
        <v>94.04</v>
      </c>
      <c r="H27" s="2">
        <v>94.04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/>
      <c r="R27" s="2"/>
      <c r="S27" s="2"/>
      <c r="T27" s="2"/>
      <c r="U27" s="2"/>
    </row>
    <row r="28" spans="2:21" outlineLevel="2">
      <c r="B28" s="382" t="s">
        <v>763</v>
      </c>
      <c r="C28" s="2">
        <v>5017</v>
      </c>
      <c r="D28" s="2">
        <v>9808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2"/>
      <c r="S28" s="2"/>
      <c r="T28" s="2"/>
      <c r="U28" s="2"/>
    </row>
    <row r="29" spans="2:21" outlineLevel="2">
      <c r="B29" s="382" t="s">
        <v>685</v>
      </c>
      <c r="C29" s="2">
        <v>32</v>
      </c>
      <c r="D29" s="2">
        <v>30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2:21" outlineLevel="1">
      <c r="B30" s="38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2:21" outlineLevel="1">
      <c r="B31" s="38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2:21" outlineLevel="1">
      <c r="B32" s="381" t="s">
        <v>687</v>
      </c>
      <c r="C32" s="2">
        <f>+SUBTOTAL(9,C33:C43)</f>
        <v>124724.71299999999</v>
      </c>
      <c r="D32" s="2">
        <f>+SUBTOTAL(9,D33:D43)</f>
        <v>134603.524</v>
      </c>
      <c r="E32" s="2">
        <f>+SUBTOTAL(9,E33:E43)</f>
        <v>109946.163</v>
      </c>
      <c r="F32" s="2">
        <f t="shared" ref="F32:Q32" si="7">+SUBTOTAL(9,F33:F43)</f>
        <v>107329.163</v>
      </c>
      <c r="G32" s="2">
        <f t="shared" si="7"/>
        <v>107329.163</v>
      </c>
      <c r="H32" s="2">
        <f t="shared" si="7"/>
        <v>107329.163</v>
      </c>
      <c r="I32" s="2">
        <f t="shared" si="7"/>
        <v>38261.163</v>
      </c>
      <c r="J32" s="2">
        <f t="shared" si="7"/>
        <v>34928.163</v>
      </c>
      <c r="K32" s="2">
        <f t="shared" si="7"/>
        <v>32594.163</v>
      </c>
      <c r="L32" s="2">
        <f t="shared" si="7"/>
        <v>32594.163</v>
      </c>
      <c r="M32" s="2">
        <f t="shared" si="7"/>
        <v>32594.163</v>
      </c>
      <c r="N32" s="2">
        <f t="shared" si="7"/>
        <v>32594.163</v>
      </c>
      <c r="O32" s="2">
        <f t="shared" si="7"/>
        <v>32594.163</v>
      </c>
      <c r="P32" s="2">
        <f t="shared" si="7"/>
        <v>32594.163</v>
      </c>
      <c r="Q32" s="2">
        <f t="shared" si="7"/>
        <v>32594.163</v>
      </c>
      <c r="R32" s="2"/>
      <c r="S32" s="2"/>
      <c r="T32" s="2"/>
      <c r="U32" s="2"/>
    </row>
    <row r="33" spans="2:21" outlineLevel="2">
      <c r="B33" s="382" t="s">
        <v>681</v>
      </c>
      <c r="C33" s="2">
        <f>+SUBTOTAL(9,C34:C35)</f>
        <v>12804.609999999999</v>
      </c>
      <c r="D33" s="2">
        <f t="shared" ref="D33:Q33" si="8">+SUBTOTAL(9,D34:D35)</f>
        <v>19030.638999999999</v>
      </c>
      <c r="E33" s="2">
        <f t="shared" si="8"/>
        <v>19030.638999999999</v>
      </c>
      <c r="F33" s="2">
        <f t="shared" si="8"/>
        <v>19030.638999999999</v>
      </c>
      <c r="G33" s="2">
        <f t="shared" si="8"/>
        <v>19030.638999999999</v>
      </c>
      <c r="H33" s="2">
        <f t="shared" si="8"/>
        <v>19030.638999999999</v>
      </c>
      <c r="I33" s="2">
        <f t="shared" si="8"/>
        <v>15697.638999999999</v>
      </c>
      <c r="J33" s="2">
        <f t="shared" si="8"/>
        <v>12364.638999999999</v>
      </c>
      <c r="K33" s="2">
        <f t="shared" si="8"/>
        <v>10030.638999999999</v>
      </c>
      <c r="L33" s="2">
        <f t="shared" si="8"/>
        <v>10030.638999999999</v>
      </c>
      <c r="M33" s="2">
        <f t="shared" si="8"/>
        <v>10030.638999999999</v>
      </c>
      <c r="N33" s="2">
        <f t="shared" si="8"/>
        <v>10030.638999999999</v>
      </c>
      <c r="O33" s="2">
        <f t="shared" si="8"/>
        <v>10030.638999999999</v>
      </c>
      <c r="P33" s="2">
        <f t="shared" si="8"/>
        <v>10030.638999999999</v>
      </c>
      <c r="Q33" s="2">
        <f t="shared" si="8"/>
        <v>10030.638999999999</v>
      </c>
      <c r="R33" s="2"/>
      <c r="S33" s="2"/>
      <c r="T33" s="2"/>
      <c r="U33" s="2"/>
    </row>
    <row r="34" spans="2:21" outlineLevel="3">
      <c r="B34" s="383" t="s">
        <v>744</v>
      </c>
      <c r="C34" s="2">
        <v>1259.027</v>
      </c>
      <c r="D34" s="2">
        <v>10030.638999999999</v>
      </c>
      <c r="E34" s="2">
        <f>+D34</f>
        <v>10030.638999999999</v>
      </c>
      <c r="F34" s="2">
        <f t="shared" ref="F34:Q34" si="9">+E34</f>
        <v>10030.638999999999</v>
      </c>
      <c r="G34" s="2">
        <f t="shared" si="9"/>
        <v>10030.638999999999</v>
      </c>
      <c r="H34" s="2">
        <f t="shared" si="9"/>
        <v>10030.638999999999</v>
      </c>
      <c r="I34" s="2">
        <f t="shared" si="9"/>
        <v>10030.638999999999</v>
      </c>
      <c r="J34" s="2">
        <f t="shared" si="9"/>
        <v>10030.638999999999</v>
      </c>
      <c r="K34" s="2">
        <f t="shared" si="9"/>
        <v>10030.638999999999</v>
      </c>
      <c r="L34" s="2">
        <f t="shared" si="9"/>
        <v>10030.638999999999</v>
      </c>
      <c r="M34" s="2">
        <f t="shared" si="9"/>
        <v>10030.638999999999</v>
      </c>
      <c r="N34" s="2">
        <f t="shared" si="9"/>
        <v>10030.638999999999</v>
      </c>
      <c r="O34" s="2">
        <f t="shared" si="9"/>
        <v>10030.638999999999</v>
      </c>
      <c r="P34" s="2">
        <f t="shared" si="9"/>
        <v>10030.638999999999</v>
      </c>
      <c r="Q34" s="2">
        <f t="shared" si="9"/>
        <v>10030.638999999999</v>
      </c>
      <c r="R34" s="2"/>
      <c r="S34" s="2"/>
      <c r="T34" s="2"/>
      <c r="U34" s="2"/>
    </row>
    <row r="35" spans="2:21" outlineLevel="3">
      <c r="B35" s="383" t="s">
        <v>745</v>
      </c>
      <c r="C35" s="2">
        <f>11544.47+1.113</f>
        <v>11545.582999999999</v>
      </c>
      <c r="D35" s="2">
        <v>9000</v>
      </c>
      <c r="E35" s="2">
        <f>+D35-'Venta Activos'!H36</f>
        <v>9000</v>
      </c>
      <c r="F35" s="2">
        <f>+E35-'Venta Activos'!I36</f>
        <v>9000</v>
      </c>
      <c r="G35" s="2">
        <f>+F35-'Venta Activos'!J36</f>
        <v>9000</v>
      </c>
      <c r="H35" s="2">
        <f>+G35-'Venta Activos'!K36</f>
        <v>9000</v>
      </c>
      <c r="I35" s="2">
        <f>+H35-'Venta Activos'!L36</f>
        <v>5667</v>
      </c>
      <c r="J35" s="2">
        <f>+I35-'Venta Activos'!M36</f>
        <v>2334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/>
      <c r="Q35" s="2"/>
      <c r="R35" s="2"/>
      <c r="S35" s="2"/>
      <c r="T35" s="2"/>
      <c r="U35" s="2"/>
    </row>
    <row r="36" spans="2:21" outlineLevel="2">
      <c r="B36" s="382" t="s">
        <v>682</v>
      </c>
      <c r="C36" s="2">
        <f>+SUBTOTAL(9,C37:C38)</f>
        <v>45192.103000000003</v>
      </c>
      <c r="D36" s="2">
        <f t="shared" ref="D36:Q36" si="10">+SUBTOTAL(9,D37:D38)</f>
        <v>32193.885000000002</v>
      </c>
      <c r="E36" s="2">
        <f t="shared" si="10"/>
        <v>12261.523999999999</v>
      </c>
      <c r="F36" s="2">
        <f t="shared" si="10"/>
        <v>12261.523999999999</v>
      </c>
      <c r="G36" s="2">
        <f t="shared" si="10"/>
        <v>12261.523999999999</v>
      </c>
      <c r="H36" s="2">
        <f t="shared" si="10"/>
        <v>12261.523999999999</v>
      </c>
      <c r="I36" s="2">
        <f t="shared" si="10"/>
        <v>12261.523999999999</v>
      </c>
      <c r="J36" s="2">
        <f t="shared" si="10"/>
        <v>12261.523999999999</v>
      </c>
      <c r="K36" s="2">
        <f t="shared" si="10"/>
        <v>12261.523999999999</v>
      </c>
      <c r="L36" s="2">
        <f t="shared" si="10"/>
        <v>12261.523999999999</v>
      </c>
      <c r="M36" s="2">
        <f t="shared" si="10"/>
        <v>12261.523999999999</v>
      </c>
      <c r="N36" s="2">
        <f t="shared" si="10"/>
        <v>12261.523999999999</v>
      </c>
      <c r="O36" s="2">
        <f t="shared" si="10"/>
        <v>12261.523999999999</v>
      </c>
      <c r="P36" s="2">
        <f t="shared" si="10"/>
        <v>12261.523999999999</v>
      </c>
      <c r="Q36" s="2">
        <f t="shared" si="10"/>
        <v>12261.523999999999</v>
      </c>
      <c r="R36" s="2"/>
      <c r="S36" s="2"/>
      <c r="T36" s="2"/>
      <c r="U36" s="2"/>
    </row>
    <row r="37" spans="2:21" outlineLevel="3">
      <c r="B37" s="383" t="s">
        <v>767</v>
      </c>
      <c r="C37" s="2">
        <f>28221.445+0.5+165.64+192.99</f>
        <v>28580.575000000001</v>
      </c>
      <c r="D37" s="2">
        <v>19932.361000000001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2"/>
      <c r="S37" s="2"/>
      <c r="T37" s="2"/>
      <c r="U37" s="2"/>
    </row>
    <row r="38" spans="2:21" outlineLevel="3">
      <c r="B38" s="383" t="s">
        <v>755</v>
      </c>
      <c r="C38" s="2">
        <v>16611.527999999998</v>
      </c>
      <c r="D38" s="2">
        <v>12261.523999999999</v>
      </c>
      <c r="E38" s="2">
        <f>+D38</f>
        <v>12261.523999999999</v>
      </c>
      <c r="F38" s="2">
        <f t="shared" ref="F38:Q38" si="11">+E38</f>
        <v>12261.523999999999</v>
      </c>
      <c r="G38" s="2">
        <f t="shared" si="11"/>
        <v>12261.523999999999</v>
      </c>
      <c r="H38" s="2">
        <f t="shared" si="11"/>
        <v>12261.523999999999</v>
      </c>
      <c r="I38" s="2">
        <f t="shared" si="11"/>
        <v>12261.523999999999</v>
      </c>
      <c r="J38" s="2">
        <f t="shared" si="11"/>
        <v>12261.523999999999</v>
      </c>
      <c r="K38" s="2">
        <f t="shared" si="11"/>
        <v>12261.523999999999</v>
      </c>
      <c r="L38" s="2">
        <f t="shared" si="11"/>
        <v>12261.523999999999</v>
      </c>
      <c r="M38" s="2">
        <f t="shared" si="11"/>
        <v>12261.523999999999</v>
      </c>
      <c r="N38" s="2">
        <f t="shared" si="11"/>
        <v>12261.523999999999</v>
      </c>
      <c r="O38" s="2">
        <f t="shared" si="11"/>
        <v>12261.523999999999</v>
      </c>
      <c r="P38" s="2">
        <f t="shared" si="11"/>
        <v>12261.523999999999</v>
      </c>
      <c r="Q38" s="2">
        <f t="shared" si="11"/>
        <v>12261.523999999999</v>
      </c>
      <c r="R38" s="2"/>
      <c r="S38" s="2"/>
      <c r="T38" s="2"/>
      <c r="U38" s="2"/>
    </row>
    <row r="39" spans="2:21" outlineLevel="3">
      <c r="B39" s="383" t="s">
        <v>756</v>
      </c>
      <c r="C39" s="2">
        <v>1041</v>
      </c>
      <c r="D39" s="2">
        <v>2617</v>
      </c>
      <c r="E39" s="2">
        <f>+D39</f>
        <v>2617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2:21" outlineLevel="2">
      <c r="B40" s="382" t="s">
        <v>688</v>
      </c>
      <c r="C40" s="2">
        <v>5135</v>
      </c>
      <c r="D40" s="2">
        <v>4725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2:21" outlineLevel="2">
      <c r="B41" s="382" t="s">
        <v>689</v>
      </c>
      <c r="C41" s="2">
        <v>11260</v>
      </c>
      <c r="D41" s="2">
        <v>10302</v>
      </c>
      <c r="E41" s="2">
        <f>+D41</f>
        <v>10302</v>
      </c>
      <c r="F41" s="2">
        <f t="shared" ref="F41:Q41" si="12">+E41</f>
        <v>10302</v>
      </c>
      <c r="G41" s="2">
        <f t="shared" si="12"/>
        <v>10302</v>
      </c>
      <c r="H41" s="2">
        <f t="shared" si="12"/>
        <v>10302</v>
      </c>
      <c r="I41" s="2">
        <f t="shared" si="12"/>
        <v>10302</v>
      </c>
      <c r="J41" s="2">
        <f t="shared" si="12"/>
        <v>10302</v>
      </c>
      <c r="K41" s="2">
        <f t="shared" si="12"/>
        <v>10302</v>
      </c>
      <c r="L41" s="2">
        <f t="shared" si="12"/>
        <v>10302</v>
      </c>
      <c r="M41" s="2">
        <f t="shared" si="12"/>
        <v>10302</v>
      </c>
      <c r="N41" s="2">
        <f t="shared" si="12"/>
        <v>10302</v>
      </c>
      <c r="O41" s="2">
        <f t="shared" si="12"/>
        <v>10302</v>
      </c>
      <c r="P41" s="2">
        <f t="shared" si="12"/>
        <v>10302</v>
      </c>
      <c r="Q41" s="2">
        <f t="shared" si="12"/>
        <v>10302</v>
      </c>
      <c r="R41" s="2"/>
      <c r="S41" s="2"/>
      <c r="T41" s="2"/>
      <c r="U41" s="2"/>
    </row>
    <row r="42" spans="2:21" outlineLevel="2">
      <c r="B42" s="382" t="s">
        <v>690</v>
      </c>
      <c r="C42" s="2">
        <v>49292</v>
      </c>
      <c r="D42" s="2">
        <v>65735</v>
      </c>
      <c r="E42" s="2">
        <f>+D42</f>
        <v>65735</v>
      </c>
      <c r="F42" s="2">
        <f>+E42</f>
        <v>65735</v>
      </c>
      <c r="G42" s="2">
        <f>+F42</f>
        <v>65735</v>
      </c>
      <c r="H42" s="2">
        <f>+G42</f>
        <v>65735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/>
      <c r="S42" s="2"/>
      <c r="T42" s="2"/>
      <c r="U42" s="2"/>
    </row>
    <row r="43" spans="2:21" outlineLevel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2:21" outlineLevel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2:2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2:2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2:21">
      <c r="B47" t="s">
        <v>692</v>
      </c>
      <c r="C47" s="2">
        <f>+SUBTOTAL(9,C48:C81)</f>
        <v>325926.63899999991</v>
      </c>
      <c r="D47" s="2">
        <f>+SUBTOTAL(9,D48:D81)</f>
        <v>359112.41399999993</v>
      </c>
      <c r="E47" s="2">
        <f>+SUBTOTAL(9,E48:E81)</f>
        <v>284758.39274580509</v>
      </c>
      <c r="F47" s="2">
        <f t="shared" ref="F47:Q47" si="13">+SUBTOTAL(9,F48:F81)</f>
        <v>292988.4394083381</v>
      </c>
      <c r="G47" s="2">
        <f t="shared" si="13"/>
        <v>336367.86354331375</v>
      </c>
      <c r="H47" s="2">
        <f t="shared" si="13"/>
        <v>377545.85523304617</v>
      </c>
      <c r="I47" s="2">
        <f t="shared" si="13"/>
        <v>368029.18608296977</v>
      </c>
      <c r="J47" s="2">
        <f t="shared" si="13"/>
        <v>392894.62439809978</v>
      </c>
      <c r="K47" s="2">
        <f t="shared" si="13"/>
        <v>414222.06975940469</v>
      </c>
      <c r="L47" s="2">
        <f t="shared" si="13"/>
        <v>441276.23823022458</v>
      </c>
      <c r="M47" s="2">
        <f t="shared" si="13"/>
        <v>468027.15890776884</v>
      </c>
      <c r="N47" s="2">
        <f t="shared" si="13"/>
        <v>483388.51989430859</v>
      </c>
      <c r="O47" s="2">
        <f t="shared" si="13"/>
        <v>490348.56799911876</v>
      </c>
      <c r="P47" s="2">
        <f t="shared" si="13"/>
        <v>439092.37494605582</v>
      </c>
      <c r="Q47" s="2">
        <f t="shared" si="13"/>
        <v>419655.27470708237</v>
      </c>
      <c r="R47" s="2"/>
      <c r="S47" s="2"/>
      <c r="T47" s="2"/>
      <c r="U47" s="2"/>
    </row>
    <row r="48" spans="2:21" outlineLevel="1">
      <c r="B48" s="381" t="s">
        <v>693</v>
      </c>
      <c r="C48" s="2">
        <f>+SUBTOTAL(9,C49:C65)</f>
        <v>84393.351999999999</v>
      </c>
      <c r="D48" s="2">
        <f>+SUBTOTAL(9,D49:D65)</f>
        <v>93360.749000000011</v>
      </c>
      <c r="E48" s="2">
        <f t="shared" ref="E48:Q48" si="14">+SUBTOTAL(9,E49:E65)</f>
        <v>68130.880031711567</v>
      </c>
      <c r="F48" s="2">
        <f t="shared" si="14"/>
        <v>112741.99928297912</v>
      </c>
      <c r="G48" s="2">
        <f t="shared" si="14"/>
        <v>150599.46193266465</v>
      </c>
      <c r="H48" s="2">
        <f t="shared" si="14"/>
        <v>192255.49213710698</v>
      </c>
      <c r="I48" s="2">
        <f t="shared" si="14"/>
        <v>237153.61139137403</v>
      </c>
      <c r="J48" s="2">
        <f t="shared" si="14"/>
        <v>268066.36356946011</v>
      </c>
      <c r="K48" s="2">
        <f t="shared" si="14"/>
        <v>300912.53251780517</v>
      </c>
      <c r="L48" s="2">
        <f t="shared" si="14"/>
        <v>337502.19818938267</v>
      </c>
      <c r="M48" s="2">
        <f t="shared" si="14"/>
        <v>369688.23427261529</v>
      </c>
      <c r="N48" s="2">
        <f t="shared" si="14"/>
        <v>399309.06795790634</v>
      </c>
      <c r="O48" s="2">
        <f t="shared" si="14"/>
        <v>420757.1319587765</v>
      </c>
      <c r="P48" s="2">
        <f t="shared" si="14"/>
        <v>424048.72827567585</v>
      </c>
      <c r="Q48" s="2">
        <f t="shared" si="14"/>
        <v>404611.6280367024</v>
      </c>
      <c r="R48" s="2"/>
      <c r="S48" s="2"/>
      <c r="T48" s="2"/>
      <c r="U48" s="2"/>
    </row>
    <row r="49" spans="2:21" outlineLevel="2">
      <c r="B49" s="382" t="s">
        <v>757</v>
      </c>
      <c r="C49" s="2">
        <v>1255</v>
      </c>
      <c r="D49" s="2">
        <v>8982</v>
      </c>
      <c r="E49" s="2">
        <f>+E10*0.7</f>
        <v>10788.245605808836</v>
      </c>
      <c r="F49" s="2">
        <f t="shared" ref="F49:Q49" si="15">+F10*0.7</f>
        <v>38818.327494069861</v>
      </c>
      <c r="G49" s="2">
        <f t="shared" si="15"/>
        <v>56971.992983067641</v>
      </c>
      <c r="H49" s="2">
        <f t="shared" si="15"/>
        <v>80724.482873695786</v>
      </c>
      <c r="I49" s="2">
        <f t="shared" si="15"/>
        <v>97628.532500668967</v>
      </c>
      <c r="J49" s="2">
        <f t="shared" si="15"/>
        <v>107273.77386080122</v>
      </c>
      <c r="K49" s="2">
        <f t="shared" si="15"/>
        <v>117532.31174878248</v>
      </c>
      <c r="L49" s="2">
        <f t="shared" si="15"/>
        <v>133962.81862073188</v>
      </c>
      <c r="M49" s="2">
        <f t="shared" si="15"/>
        <v>148862.94485374706</v>
      </c>
      <c r="N49" s="2">
        <f t="shared" si="15"/>
        <v>161615.64093277647</v>
      </c>
      <c r="O49" s="2">
        <f t="shared" si="15"/>
        <v>171127.67902893358</v>
      </c>
      <c r="P49" s="2">
        <f t="shared" si="15"/>
        <v>164951.00694968406</v>
      </c>
      <c r="Q49" s="2">
        <f t="shared" si="15"/>
        <v>139497.74895785926</v>
      </c>
      <c r="R49" s="2"/>
      <c r="S49" s="2"/>
      <c r="T49" s="2"/>
      <c r="U49" s="2"/>
    </row>
    <row r="50" spans="2:21" outlineLevel="2">
      <c r="B50" s="382" t="s">
        <v>694</v>
      </c>
      <c r="C50" s="2">
        <v>1048</v>
      </c>
      <c r="D50" s="2">
        <v>989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2:21" outlineLevel="2">
      <c r="B51" s="382" t="s">
        <v>695</v>
      </c>
      <c r="C51" s="2">
        <f>+SUBTOTAL(9,C52:C56)</f>
        <v>60174.203999999998</v>
      </c>
      <c r="D51" s="2">
        <f>+SUBTOTAL(9,D52:D56)</f>
        <v>64357.895000000004</v>
      </c>
      <c r="E51" s="2">
        <f t="shared" ref="E51:Q51" si="16">+SUBTOTAL(9,E52:E56)</f>
        <v>44117.096330876724</v>
      </c>
      <c r="F51" s="2">
        <f t="shared" si="16"/>
        <v>59583.537655509324</v>
      </c>
      <c r="G51" s="2">
        <f t="shared" si="16"/>
        <v>78411.133496772032</v>
      </c>
      <c r="H51" s="2">
        <f t="shared" si="16"/>
        <v>94602.070601816158</v>
      </c>
      <c r="I51" s="2">
        <f t="shared" si="16"/>
        <v>120948.71279411955</v>
      </c>
      <c r="J51" s="2">
        <f t="shared" si="16"/>
        <v>140002.80895885223</v>
      </c>
      <c r="K51" s="2">
        <f t="shared" si="16"/>
        <v>155372.33700107143</v>
      </c>
      <c r="L51" s="2">
        <f t="shared" si="16"/>
        <v>172596.36672149901</v>
      </c>
      <c r="M51" s="2">
        <f t="shared" si="16"/>
        <v>187495.62954547798</v>
      </c>
      <c r="N51" s="2">
        <f t="shared" si="16"/>
        <v>201942.15081707123</v>
      </c>
      <c r="O51" s="2">
        <f t="shared" si="16"/>
        <v>211612.08984550345</v>
      </c>
      <c r="P51" s="2">
        <f t="shared" si="16"/>
        <v>218862.15659512568</v>
      </c>
      <c r="Q51" s="2">
        <f t="shared" si="16"/>
        <v>223935.28709997665</v>
      </c>
      <c r="R51" s="2"/>
      <c r="S51" s="2"/>
      <c r="T51" s="2"/>
      <c r="U51" s="2"/>
    </row>
    <row r="52" spans="2:21" outlineLevel="3">
      <c r="B52" s="383" t="s">
        <v>758</v>
      </c>
      <c r="C52" s="2">
        <v>18403.581999999999</v>
      </c>
      <c r="D52" s="2">
        <v>26402.993999999999</v>
      </c>
      <c r="E52" s="2">
        <f>+PyG!M24*0.25+PyG!N24*0.12+PyG!O24*0.07</f>
        <v>22740.008505911879</v>
      </c>
      <c r="F52" s="2">
        <f>+PyG!N24*0.25+PyG!O24*0.12+PyG!P24*0.07</f>
        <v>30569.611155603656</v>
      </c>
      <c r="G52" s="2">
        <f>+PyG!O24*0.25+PyG!P24*0.12+PyG!Q24*0.07</f>
        <v>43680.000981148056</v>
      </c>
      <c r="H52" s="2">
        <f>+PyG!P24*0.25+PyG!Q24*0.12+PyG!R24*0.07</f>
        <v>47685.933254372925</v>
      </c>
      <c r="I52" s="2">
        <f>+PyG!Q24*0.25+PyG!R24*0.12+PyG!S24*0.07</f>
        <v>62421.546412872893</v>
      </c>
      <c r="J52" s="2">
        <f>+PyG!R24*0.25+PyG!S24*0.12+PyG!T24*0.07</f>
        <v>77276.779477956909</v>
      </c>
      <c r="K52" s="2">
        <f>+PyG!S24*0.25+PyG!T24*0.12+PyG!U24*0.07</f>
        <v>88143.352038695943</v>
      </c>
      <c r="L52" s="2">
        <f>+PyG!T24*0.25+PyG!U24*0.12+PyG!V24*0.07</f>
        <v>100538.19401831568</v>
      </c>
      <c r="M52" s="2">
        <f>+PyG!U24*0.25+PyG!V24*0.12+PyG!W24*0.07</f>
        <v>110258.28031492981</v>
      </c>
      <c r="N52" s="2">
        <f>+PyG!V24*0.25+PyG!W24*0.12+PyG!X24*0.07</f>
        <v>119150.14485796593</v>
      </c>
      <c r="O52" s="2">
        <f>+PyG!W24*0.25+PyG!X24*0.12+PyG!Y24*0.07</f>
        <v>124681.58805855291</v>
      </c>
      <c r="P52" s="2">
        <f>+PyG!X24*0.25+PyG!Y24*0.12+PyG!Z24*0.07</f>
        <v>125675.27603208632</v>
      </c>
      <c r="Q52" s="2">
        <f>+PyG!Y24*0.25+PyG!Z24*0.12+PyG!AA24*0.07</f>
        <v>124038.11585993103</v>
      </c>
      <c r="R52" s="2"/>
      <c r="S52" s="2"/>
      <c r="T52" s="2"/>
      <c r="U52" s="2"/>
    </row>
    <row r="53" spans="2:21" outlineLevel="3">
      <c r="B53" s="383" t="s">
        <v>769</v>
      </c>
      <c r="C53" s="2">
        <v>5779.5839999999998</v>
      </c>
      <c r="D53" s="2">
        <v>10384.349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/>
      <c r="S53" s="2"/>
      <c r="T53" s="2"/>
      <c r="U53" s="2"/>
    </row>
    <row r="54" spans="2:21" outlineLevel="3">
      <c r="B54" s="383" t="s">
        <v>746</v>
      </c>
      <c r="C54" s="2">
        <v>11651.26</v>
      </c>
      <c r="D54" s="2">
        <v>8763.9709999999995</v>
      </c>
      <c r="E54" s="2">
        <f>+D54/PyG!L6*PyG!M6</f>
        <v>6795.2276676377378</v>
      </c>
      <c r="F54" s="2">
        <f>+E54/PyG!M6*PyG!N6</f>
        <v>9222.7827154604947</v>
      </c>
      <c r="G54" s="2">
        <f>+F54/PyG!N6*PyG!O6</f>
        <v>11040.135800113309</v>
      </c>
      <c r="H54" s="2">
        <f>+G54/PyG!O6*PyG!P6</f>
        <v>14913.436159892964</v>
      </c>
      <c r="I54" s="2">
        <f>+H54/PyG!P6*PyG!Q6</f>
        <v>18604.284342127816</v>
      </c>
      <c r="J54" s="2">
        <f>+I54/PyG!Q6*PyG!R6</f>
        <v>19938.995175566732</v>
      </c>
      <c r="K54" s="2">
        <f>+J54/PyG!R6*PyG!S6</f>
        <v>21370.369173953964</v>
      </c>
      <c r="L54" s="2">
        <f>+K54/PyG!S6*PyG!T6</f>
        <v>22905.444036219887</v>
      </c>
      <c r="M54" s="2">
        <f>+L54/PyG!T6*PyG!U6</f>
        <v>24551.771352760592</v>
      </c>
      <c r="N54" s="2">
        <f>+M54/PyG!U6*PyG!V6</f>
        <v>26317.454190160064</v>
      </c>
      <c r="O54" s="2">
        <f>+N54/PyG!V6*PyG!W6</f>
        <v>27632.975816961614</v>
      </c>
      <c r="P54" s="2">
        <f>+O54/PyG!W6*PyG!X6</f>
        <v>29621.718086563535</v>
      </c>
      <c r="Q54" s="2">
        <f>+P54/PyG!X6*PyG!Y6</f>
        <v>31754.747301751293</v>
      </c>
      <c r="R54" s="2"/>
      <c r="S54" s="2"/>
      <c r="T54" s="2"/>
      <c r="U54" s="2"/>
    </row>
    <row r="55" spans="2:21" outlineLevel="3">
      <c r="B55" s="383" t="s">
        <v>747</v>
      </c>
      <c r="C55" s="2">
        <f>9539.528+8354.805</f>
        <v>17894.332999999999</v>
      </c>
      <c r="D55" s="2">
        <f>7790.365+7506.117</f>
        <v>15296.482</v>
      </c>
      <c r="E55" s="2">
        <f>+D55/PyG!L6*PyG!M6</f>
        <v>11860.27175397119</v>
      </c>
      <c r="F55" s="2">
        <f>+E55/PyG!M6*PyG!N6</f>
        <v>16097.283959172457</v>
      </c>
      <c r="G55" s="2">
        <f>+F55/PyG!N6*PyG!O6</f>
        <v>19269.260309509107</v>
      </c>
      <c r="H55" s="2">
        <f>+G55/PyG!O6*PyG!P6</f>
        <v>26029.651145348595</v>
      </c>
      <c r="I55" s="2">
        <f>+H55/PyG!P6*PyG!Q6</f>
        <v>32471.593135376643</v>
      </c>
      <c r="J55" s="2">
        <f>+I55/PyG!Q6*PyG!R6</f>
        <v>34801.174125421385</v>
      </c>
      <c r="K55" s="2">
        <f>+J55/PyG!R6*PyG!S6</f>
        <v>37299.469316219976</v>
      </c>
      <c r="L55" s="2">
        <f>+K55/PyG!S6*PyG!T6</f>
        <v>39978.762184635802</v>
      </c>
      <c r="M55" s="2">
        <f>+L55/PyG!T6*PyG!U6</f>
        <v>42852.233144726066</v>
      </c>
      <c r="N55" s="2">
        <f>+M55/PyG!U6*PyG!V6</f>
        <v>45934.025147459753</v>
      </c>
      <c r="O55" s="2">
        <f>+N55/PyG!V6*PyG!W6</f>
        <v>48230.113631205379</v>
      </c>
      <c r="P55" s="2">
        <f>+O55/PyG!W6*PyG!X6</f>
        <v>51701.229673191927</v>
      </c>
      <c r="Q55" s="2">
        <f>+P55/PyG!X6*PyG!Y6</f>
        <v>55424.181631338943</v>
      </c>
      <c r="R55" s="2"/>
      <c r="S55" s="2"/>
      <c r="T55" s="2"/>
      <c r="U55" s="2"/>
    </row>
    <row r="56" spans="2:21" outlineLevel="3">
      <c r="B56" s="383" t="s">
        <v>710</v>
      </c>
      <c r="C56" s="2">
        <f>5085.364+957.618+402.463</f>
        <v>6445.4449999999997</v>
      </c>
      <c r="D56" s="2">
        <f>1572.685+1564.626+372.788</f>
        <v>3510.0989999999997</v>
      </c>
      <c r="E56" s="2">
        <f>+D56/PyG!L6*PyG!M6</f>
        <v>2721.5884033559169</v>
      </c>
      <c r="F56" s="2">
        <f>+E56/PyG!M6*PyG!N6</f>
        <v>3693.8598252727184</v>
      </c>
      <c r="G56" s="2">
        <f>+F56/PyG!N6*PyG!O6</f>
        <v>4421.7364060015634</v>
      </c>
      <c r="H56" s="2">
        <f>+G56/PyG!O6*PyG!P6</f>
        <v>5973.0500422016621</v>
      </c>
      <c r="I56" s="2">
        <f>+H56/PyG!P6*PyG!Q6</f>
        <v>7451.2889037422092</v>
      </c>
      <c r="J56" s="2">
        <f>+I56/PyG!Q6*PyG!R6</f>
        <v>7985.8601799072158</v>
      </c>
      <c r="K56" s="2">
        <f>+J56/PyG!R6*PyG!S6</f>
        <v>8559.1464722015462</v>
      </c>
      <c r="L56" s="2">
        <f>+K56/PyG!S6*PyG!T6</f>
        <v>9173.9664823276344</v>
      </c>
      <c r="M56" s="2">
        <f>+L56/PyG!T6*PyG!U6</f>
        <v>9833.3447330614872</v>
      </c>
      <c r="N56" s="2">
        <f>+M56/PyG!U6*PyG!V6</f>
        <v>10540.526621485473</v>
      </c>
      <c r="O56" s="2">
        <f>+N56/PyG!V6*PyG!W6</f>
        <v>11067.412338783543</v>
      </c>
      <c r="P56" s="2">
        <f>+O56/PyG!W6*PyG!X6</f>
        <v>11863.932803283875</v>
      </c>
      <c r="Q56" s="2">
        <f>+P56/PyG!X6*PyG!Y6</f>
        <v>12718.242306955364</v>
      </c>
      <c r="R56" s="2"/>
      <c r="S56" s="2"/>
      <c r="T56" s="2"/>
      <c r="U56" s="2"/>
    </row>
    <row r="57" spans="2:21" outlineLevel="2">
      <c r="B57" s="382" t="s">
        <v>696</v>
      </c>
      <c r="C57" s="2">
        <f>+SUBTOTAL(9,C58:C61)</f>
        <v>4294.1480000000001</v>
      </c>
      <c r="D57" s="2">
        <f>+SUBTOTAL(9,D58:D61)</f>
        <v>3562.8539999999998</v>
      </c>
      <c r="E57" s="2">
        <f t="shared" ref="E57" si="17">+SUBTOTAL(9,E58:E61)</f>
        <v>2738.2880950260032</v>
      </c>
      <c r="F57" s="2">
        <f t="shared" ref="F57" si="18">+SUBTOTAL(9,F58:F61)</f>
        <v>3716.5253833999172</v>
      </c>
      <c r="G57" s="2">
        <f t="shared" ref="G57" si="19">+SUBTOTAL(9,G58:G61)</f>
        <v>4448.8682215749877</v>
      </c>
      <c r="H57" s="2">
        <f t="shared" ref="H57" si="20">+SUBTOTAL(9,H58:H61)</f>
        <v>6009.7007326263301</v>
      </c>
      <c r="I57" s="2">
        <f t="shared" ref="I57" si="21">+SUBTOTAL(9,I58:I61)</f>
        <v>7497.0100815234609</v>
      </c>
      <c r="J57" s="2">
        <f t="shared" ref="J57" si="22">+SUBTOTAL(9,J58:J61)</f>
        <v>9541.5001539162295</v>
      </c>
      <c r="K57" s="2">
        <f t="shared" ref="K57" si="23">+SUBTOTAL(9,K58:K61)</f>
        <v>16581.387739286936</v>
      </c>
      <c r="L57" s="2">
        <f t="shared" ref="L57" si="24">+SUBTOTAL(9,L58:L61)</f>
        <v>19328.49953691084</v>
      </c>
      <c r="M57" s="2">
        <f t="shared" ref="M57" si="25">+SUBTOTAL(9,M58:M61)</f>
        <v>21516.788331085951</v>
      </c>
      <c r="N57" s="2">
        <f t="shared" ref="N57" si="26">+SUBTOTAL(9,N58:N61)</f>
        <v>23729.136730927719</v>
      </c>
      <c r="O57" s="2">
        <f t="shared" ref="O57" si="27">+SUBTOTAL(9,O58:O61)</f>
        <v>25774.445935966316</v>
      </c>
      <c r="P57" s="2">
        <f t="shared" ref="P57" si="28">+SUBTOTAL(9,P58:P61)</f>
        <v>27759.727139332561</v>
      </c>
      <c r="Q57" s="2">
        <f t="shared" ref="Q57" si="29">+SUBTOTAL(9,Q58:Q61)</f>
        <v>28457.023319798493</v>
      </c>
      <c r="R57" s="2"/>
      <c r="S57" s="2"/>
      <c r="T57" s="2"/>
      <c r="U57" s="2"/>
    </row>
    <row r="58" spans="2:21" outlineLevel="3">
      <c r="B58" s="383" t="s">
        <v>770</v>
      </c>
      <c r="C58" s="2">
        <v>617.92600000000004</v>
      </c>
      <c r="D58" s="2">
        <v>1356.3119999999999</v>
      </c>
      <c r="E58" s="2">
        <f>+D58/PyG!L6*PyG!M6</f>
        <v>1051.6293160199955</v>
      </c>
      <c r="F58" s="2">
        <f>+E58/PyG!M6*PyG!N6</f>
        <v>1427.317693129251</v>
      </c>
      <c r="G58" s="2">
        <f>+F58/PyG!N6*PyG!O6</f>
        <v>1708.571224998723</v>
      </c>
      <c r="H58" s="2">
        <f>+G58/PyG!O6*PyG!P6</f>
        <v>2308.0031215184017</v>
      </c>
      <c r="I58" s="2">
        <f>+H58/PyG!P6*PyG!Q6</f>
        <v>2879.1987222048156</v>
      </c>
      <c r="J58" s="2">
        <f>+I58/PyG!Q6*PyG!R6</f>
        <v>3085.7585476450417</v>
      </c>
      <c r="K58" s="2">
        <f>+J58/PyG!R6*PyG!S6</f>
        <v>3307.2779628166104</v>
      </c>
      <c r="L58" s="2">
        <f>+K58/PyG!S6*PyG!T6</f>
        <v>3544.8461218839575</v>
      </c>
      <c r="M58" s="2">
        <f>+L58/PyG!T6*PyG!U6</f>
        <v>3799.631708845845</v>
      </c>
      <c r="N58" s="2">
        <f>+M58/PyG!U6*PyG!V6</f>
        <v>4072.8887541463087</v>
      </c>
      <c r="O58" s="2">
        <f>+N58/PyG!V6*PyG!W6</f>
        <v>4276.4788583000609</v>
      </c>
      <c r="P58" s="2">
        <f>+O58/PyG!W6*PyG!X6</f>
        <v>4584.25657746051</v>
      </c>
      <c r="Q58" s="2">
        <f>+P58/PyG!X6*PyG!Y6</f>
        <v>4914.3641418180068</v>
      </c>
      <c r="R58" s="2"/>
      <c r="S58" s="2"/>
      <c r="T58" s="2"/>
      <c r="U58" s="2"/>
    </row>
    <row r="59" spans="2:21" outlineLevel="3">
      <c r="B59" s="383" t="s">
        <v>771</v>
      </c>
      <c r="C59" s="2">
        <f>4294.148-C58-C60-C61</f>
        <v>878.50300000000016</v>
      </c>
      <c r="D59" s="2">
        <f>3562.854-D58-D60-D61</f>
        <v>1309.3049999999998</v>
      </c>
      <c r="E59" s="2">
        <f>+D59/PyG!L6*PyG!M6</f>
        <v>1015.1819947118067</v>
      </c>
      <c r="F59" s="2">
        <f>+E59/PyG!M6*PyG!N6</f>
        <v>1377.8497810257477</v>
      </c>
      <c r="G59" s="2">
        <f>+F59/PyG!N6*PyG!O6</f>
        <v>1649.3556406984178</v>
      </c>
      <c r="H59" s="2">
        <f>+G59/PyG!O6*PyG!P6</f>
        <v>2228.0124536387279</v>
      </c>
      <c r="I59" s="2">
        <f>+H59/PyG!P6*PyG!Q6</f>
        <v>2779.4115830106757</v>
      </c>
      <c r="J59" s="2">
        <f>+I59/PyG!Q6*PyG!R6</f>
        <v>2978.8124673558818</v>
      </c>
      <c r="K59" s="2">
        <f>+J59/PyG!R6*PyG!S6</f>
        <v>3192.6544726475927</v>
      </c>
      <c r="L59" s="2">
        <f>+K59/PyG!S6*PyG!T6</f>
        <v>3421.9890051944349</v>
      </c>
      <c r="M59" s="2">
        <f>+L59/PyG!T6*PyG!U6</f>
        <v>3667.9442447979582</v>
      </c>
      <c r="N59" s="2">
        <f>+M59/PyG!U6*PyG!V6</f>
        <v>3931.7307597717427</v>
      </c>
      <c r="O59" s="2">
        <f>+N59/PyG!V6*PyG!W6</f>
        <v>4128.2648472966102</v>
      </c>
      <c r="P59" s="2">
        <f>+O59/PyG!W6*PyG!X6</f>
        <v>4425.3756201758388</v>
      </c>
      <c r="Q59" s="2">
        <f>+P59/PyG!X6*PyG!Y6</f>
        <v>4744.0423314864311</v>
      </c>
      <c r="R59" s="2"/>
      <c r="S59" s="2"/>
      <c r="T59" s="2"/>
      <c r="U59" s="2"/>
    </row>
    <row r="60" spans="2:21" outlineLevel="3">
      <c r="B60" s="383" t="s">
        <v>772</v>
      </c>
      <c r="C60" s="2">
        <v>881.56299999999999</v>
      </c>
      <c r="D60" s="2">
        <v>866.02</v>
      </c>
      <c r="E60" s="2">
        <f>+D60/PyG!L6*PyG!M6</f>
        <v>671.47678429420114</v>
      </c>
      <c r="F60" s="2">
        <f>+E60/PyG!M6*PyG!N6</f>
        <v>911.35790924491869</v>
      </c>
      <c r="G60" s="2">
        <f>+F60/PyG!N6*PyG!O6</f>
        <v>1090.9413558778467</v>
      </c>
      <c r="H60" s="2">
        <f>+G60/PyG!O6*PyG!P6</f>
        <v>1473.6851574692005</v>
      </c>
      <c r="I60" s="2">
        <f>+H60/PyG!P6*PyG!Q6</f>
        <v>1838.3997763079694</v>
      </c>
      <c r="J60" s="2">
        <f>+I60/PyG!Q6*PyG!R6</f>
        <v>1970.2904769931692</v>
      </c>
      <c r="K60" s="2">
        <f>+J60/PyG!R6*PyG!S6</f>
        <v>2111.7330388276746</v>
      </c>
      <c r="L60" s="2">
        <f>+K60/PyG!S6*PyG!T6</f>
        <v>2263.4228986206303</v>
      </c>
      <c r="M60" s="2">
        <f>+L60/PyG!T6*PyG!U6</f>
        <v>2426.1062738475207</v>
      </c>
      <c r="N60" s="2">
        <f>+M60/PyG!U6*PyG!V6</f>
        <v>2600.5838766196762</v>
      </c>
      <c r="O60" s="2">
        <f>+N60/PyG!V6*PyG!W6</f>
        <v>2730.5783778843056</v>
      </c>
      <c r="P60" s="2">
        <f>+O60/PyG!W6*PyG!X6</f>
        <v>2927.0978072982844</v>
      </c>
      <c r="Q60" s="2">
        <f>+P60/PyG!X6*PyG!Y6</f>
        <v>3137.8750863350247</v>
      </c>
      <c r="R60" s="2"/>
      <c r="S60" s="2"/>
      <c r="T60" s="2"/>
      <c r="U60" s="2"/>
    </row>
    <row r="61" spans="2:21" outlineLevel="3">
      <c r="B61" s="383" t="s">
        <v>773</v>
      </c>
      <c r="C61" s="2">
        <v>1916.1559999999999</v>
      </c>
      <c r="D61" s="2">
        <v>31.216999999999999</v>
      </c>
      <c r="E61" s="2">
        <f>+PyG!M158</f>
        <v>0</v>
      </c>
      <c r="F61" s="2">
        <f>+PyG!N158</f>
        <v>0</v>
      </c>
      <c r="G61" s="2">
        <f>+PyG!O158</f>
        <v>0</v>
      </c>
      <c r="H61" s="2">
        <f>+PyG!P158</f>
        <v>0</v>
      </c>
      <c r="I61" s="2">
        <f>+PyG!Q158</f>
        <v>0</v>
      </c>
      <c r="J61" s="2">
        <f>+PyG!R158</f>
        <v>1506.6386619221369</v>
      </c>
      <c r="K61" s="2">
        <f>+PyG!S158</f>
        <v>7969.7222649950572</v>
      </c>
      <c r="L61" s="2">
        <f>+PyG!T158</f>
        <v>10098.241511211818</v>
      </c>
      <c r="M61" s="2">
        <f>+PyG!U158</f>
        <v>11623.106103594626</v>
      </c>
      <c r="N61" s="2">
        <f>+PyG!V158</f>
        <v>13123.933340389995</v>
      </c>
      <c r="O61" s="2">
        <f>+PyG!W158</f>
        <v>14639.12385248534</v>
      </c>
      <c r="P61" s="2">
        <f>+PyG!X158</f>
        <v>15822.997134397927</v>
      </c>
      <c r="Q61" s="2">
        <f>+PyG!Y158</f>
        <v>15660.741760159028</v>
      </c>
      <c r="R61" s="2"/>
      <c r="S61" s="2"/>
      <c r="T61" s="2"/>
      <c r="U61" s="2"/>
    </row>
    <row r="62" spans="2:21" outlineLevel="2">
      <c r="B62" s="382" t="s">
        <v>697</v>
      </c>
      <c r="C62" s="2">
        <v>2439</v>
      </c>
      <c r="D62" s="2">
        <v>2350</v>
      </c>
      <c r="E62" s="2">
        <f>+D62*(1+Proyecciones!H6+1.5%)</f>
        <v>2479.25</v>
      </c>
      <c r="F62" s="2">
        <f>+E62*(1+Proyecciones!I6+1.5%)</f>
        <v>2615.6087499999999</v>
      </c>
      <c r="G62" s="2">
        <f>+F62*(1+Proyecciones!J6+1.5%)</f>
        <v>2759.4672312499997</v>
      </c>
      <c r="H62" s="2">
        <f>+G62*(1+Proyecciones!K6+1.5%)</f>
        <v>2911.2379289687497</v>
      </c>
      <c r="I62" s="2">
        <f>+H62*(1+Proyecciones!L6+1.5%)</f>
        <v>3071.3560150620306</v>
      </c>
      <c r="J62" s="2">
        <f>+I62*(1+Proyecciones!M6+1.5%)</f>
        <v>3240.2805958904419</v>
      </c>
      <c r="K62" s="2">
        <f>+J62*(1+Proyecciones!N6+1.5%)</f>
        <v>3418.4960286644159</v>
      </c>
      <c r="L62" s="2">
        <f>+K62*(1+Proyecciones!O6+1.5%)</f>
        <v>3606.5133102409586</v>
      </c>
      <c r="M62" s="2">
        <f>+L62*(1+Proyecciones!P6+1.5%)</f>
        <v>3804.8715423042113</v>
      </c>
      <c r="N62" s="2">
        <f>+M62*(1+Proyecciones!Q6+1.5%)</f>
        <v>4014.1394771309429</v>
      </c>
      <c r="O62" s="2">
        <f>+N62*(1+Proyecciones!R6+1.5%)</f>
        <v>4234.9171483731443</v>
      </c>
      <c r="P62" s="2">
        <f>+O62*(1+Proyecciones!S6+1.5%)</f>
        <v>4467.8375915336674</v>
      </c>
      <c r="Q62" s="2">
        <f>+P62*(1+Proyecciones!T6+1.5%)</f>
        <v>4713.5686590680189</v>
      </c>
      <c r="R62" s="2"/>
      <c r="S62" s="2"/>
      <c r="T62" s="2"/>
      <c r="U62" s="2"/>
    </row>
    <row r="63" spans="2:21" outlineLevel="2">
      <c r="B63" s="382" t="s">
        <v>774</v>
      </c>
      <c r="C63" s="2">
        <v>10861</v>
      </c>
      <c r="D63" s="2">
        <v>12624</v>
      </c>
      <c r="E63" s="2">
        <v>8008</v>
      </c>
      <c r="F63" s="2">
        <v>8008</v>
      </c>
      <c r="G63" s="2">
        <v>8008</v>
      </c>
      <c r="H63" s="2">
        <v>8008</v>
      </c>
      <c r="I63" s="2">
        <v>8008</v>
      </c>
      <c r="J63" s="2">
        <v>8008</v>
      </c>
      <c r="K63" s="2">
        <v>8008</v>
      </c>
      <c r="L63" s="2">
        <v>8008</v>
      </c>
      <c r="M63" s="2">
        <v>8008</v>
      </c>
      <c r="N63" s="2">
        <v>8008</v>
      </c>
      <c r="O63" s="2">
        <v>8008</v>
      </c>
      <c r="P63" s="2">
        <v>8008</v>
      </c>
      <c r="Q63" s="2">
        <v>8008</v>
      </c>
      <c r="R63" s="2"/>
      <c r="S63" s="2"/>
      <c r="T63" s="2"/>
      <c r="U63" s="2"/>
    </row>
    <row r="64" spans="2:21" outlineLevel="2">
      <c r="B64" s="382" t="s">
        <v>699</v>
      </c>
      <c r="C64" s="2">
        <v>4322</v>
      </c>
      <c r="D64" s="2">
        <v>495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/>
      <c r="S64" s="2"/>
      <c r="T64" s="2"/>
      <c r="U64" s="2"/>
    </row>
    <row r="65" spans="2:21" outlineLevel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2:21" outlineLevel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2:21" outlineLevel="1">
      <c r="B67" s="381" t="s">
        <v>700</v>
      </c>
      <c r="C67" s="2">
        <f>+SUBTOTAL(9,C68:C81)</f>
        <v>241533.28700000001</v>
      </c>
      <c r="D67" s="2">
        <f>+SUBTOTAL(9,D68:D81)</f>
        <v>265751.66499999998</v>
      </c>
      <c r="E67" s="2">
        <f>+SUBTOTAL(9,E68:E81)</f>
        <v>216627.51271409355</v>
      </c>
      <c r="F67" s="2">
        <f t="shared" ref="F67:Q67" si="30">+SUBTOTAL(9,F68:F81)</f>
        <v>180246.44012535896</v>
      </c>
      <c r="G67" s="2">
        <f t="shared" si="30"/>
        <v>185768.4016106491</v>
      </c>
      <c r="H67" s="2">
        <f t="shared" si="30"/>
        <v>185290.36309593916</v>
      </c>
      <c r="I67" s="2">
        <f t="shared" si="30"/>
        <v>130875.5746915957</v>
      </c>
      <c r="J67" s="2">
        <f t="shared" si="30"/>
        <v>124828.26082863961</v>
      </c>
      <c r="K67" s="2">
        <f t="shared" si="30"/>
        <v>113309.53724159955</v>
      </c>
      <c r="L67" s="2">
        <f t="shared" si="30"/>
        <v>103774.04004084194</v>
      </c>
      <c r="M67" s="2">
        <f t="shared" si="30"/>
        <v>98338.924635153569</v>
      </c>
      <c r="N67" s="2">
        <f t="shared" si="30"/>
        <v>84079.451936402256</v>
      </c>
      <c r="O67" s="2">
        <f t="shared" si="30"/>
        <v>69591.436040342305</v>
      </c>
      <c r="P67" s="2">
        <f t="shared" si="30"/>
        <v>15043.646670379956</v>
      </c>
      <c r="Q67" s="2">
        <f t="shared" si="30"/>
        <v>15043.646670379956</v>
      </c>
      <c r="R67" s="2"/>
      <c r="S67" s="2"/>
      <c r="T67" s="2"/>
      <c r="U67" s="2"/>
    </row>
    <row r="68" spans="2:21" outlineLevel="2">
      <c r="B68" s="382" t="s">
        <v>759</v>
      </c>
      <c r="C68" s="2">
        <v>112089.552</v>
      </c>
      <c r="D68" s="2">
        <v>120503.376</v>
      </c>
      <c r="E68" s="2">
        <f>+C68-'Flujo Caja'!H86-('Flujo Caja'!G103-'Flujo Caja'!H103)</f>
        <v>88955.566812999998</v>
      </c>
      <c r="F68" s="2">
        <f>+E68-'Flujo Caja'!I86-('Flujo Caja'!H103-'Flujo Caja'!I103)</f>
        <v>63350.487838000001</v>
      </c>
      <c r="G68" s="2">
        <f>+F68-'Flujo Caja'!J86-('Flujo Caja'!I103-'Flujo Caja'!J103)</f>
        <v>63350.487838000001</v>
      </c>
      <c r="H68" s="2">
        <f>+G68-'Flujo Caja'!K86-('Flujo Caja'!J103-'Flujo Caja'!K103)</f>
        <v>59350.487838000001</v>
      </c>
      <c r="I68" s="2">
        <f>+H68-'Flujo Caja'!L86-('Flujo Caja'!K103-'Flujo Caja'!L103)</f>
        <v>57850.487838000001</v>
      </c>
      <c r="J68" s="2">
        <f>+I68-'Flujo Caja'!M86-('Flujo Caja'!L103-'Flujo Caja'!M103)</f>
        <v>47850.487838000001</v>
      </c>
      <c r="K68" s="2">
        <f>+J68-'Flujo Caja'!N86-('Flujo Caja'!M103-'Flujo Caja'!N103)</f>
        <v>33850.487838000001</v>
      </c>
      <c r="L68" s="2">
        <f>+K68-'Flujo Caja'!O86-('Flujo Caja'!N103-'Flujo Caja'!O103)</f>
        <v>22286.487838000001</v>
      </c>
      <c r="M68" s="2">
        <f>+L68-'Flujo Caja'!P86-('Flujo Caja'!O103-'Flujo Caja'!P103)</f>
        <v>20248.911242681017</v>
      </c>
      <c r="N68" s="2">
        <f>+M68-'Flujo Caja'!Q86-('Flujo Caja'!P103-'Flujo Caja'!Q103)</f>
        <v>20248.911242681017</v>
      </c>
      <c r="O68" s="2">
        <f>+N68-'Flujo Caja'!R86-('Flujo Caja'!Q103-'Flujo Caja'!R103)</f>
        <v>8392.5517664342187</v>
      </c>
      <c r="P68" s="2">
        <v>0</v>
      </c>
      <c r="Q68" s="2">
        <f>+P68-'Flujo Caja'!T86-('Flujo Caja'!S103-'Flujo Caja'!T103)</f>
        <v>0</v>
      </c>
      <c r="R68" s="2"/>
      <c r="S68" s="2"/>
      <c r="T68" s="2"/>
      <c r="U68" s="2"/>
    </row>
    <row r="69" spans="2:21" outlineLevel="2">
      <c r="B69" s="382" t="s">
        <v>694</v>
      </c>
      <c r="C69" s="2">
        <v>39068.114000000001</v>
      </c>
      <c r="D69" s="2">
        <v>38006.6</v>
      </c>
      <c r="E69" s="2">
        <f>+D69-800</f>
        <v>37206.6</v>
      </c>
      <c r="F69" s="2">
        <f>+E69-800</f>
        <v>36406.6</v>
      </c>
      <c r="G69" s="2">
        <f>+F69-800</f>
        <v>35606.6</v>
      </c>
      <c r="H69" s="2">
        <f>+G69</f>
        <v>35606.6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2:21" outlineLevel="2">
      <c r="B70" s="382" t="s">
        <v>775</v>
      </c>
      <c r="C70" s="2"/>
      <c r="D70" s="2"/>
      <c r="E70" s="2">
        <f>+D70+PyG!M154-'Flujo Caja'!H83</f>
        <v>9713.4447344268556</v>
      </c>
      <c r="F70" s="2">
        <f>+E70+PyG!N154-'Flujo Caja'!I83</f>
        <v>17937.216954025629</v>
      </c>
      <c r="G70" s="2">
        <f>+F70+PyG!O154-'Flujo Caja'!J83</f>
        <v>24441.839272649071</v>
      </c>
      <c r="H70" s="2">
        <f>+G70+PyG!P154-'Flujo Caja'!K83</f>
        <v>30146.461591272513</v>
      </c>
      <c r="I70" s="2">
        <f>+H70+PyG!Q154-'Flujo Caja'!L83</f>
        <v>36082.520020262367</v>
      </c>
      <c r="J70" s="2">
        <f>+I70+PyG!R154-'Flujo Caja'!M83</f>
        <v>40217.866990639624</v>
      </c>
      <c r="K70" s="2">
        <f>+J70+PyG!S154-'Flujo Caja'!N83</f>
        <v>42881.804236932898</v>
      </c>
      <c r="L70" s="2">
        <f>+K70+PyG!T154-'Flujo Caja'!O83</f>
        <v>45092.967869508597</v>
      </c>
      <c r="M70" s="2">
        <f>+L70+PyG!U154-'Flujo Caja'!P83</f>
        <v>47340.513297153579</v>
      </c>
      <c r="N70" s="2">
        <f>+M70+PyG!V154-'Flujo Caja'!Q83</f>
        <v>47697.701431735572</v>
      </c>
      <c r="O70" s="2">
        <f>+N70+PyG!W154-'Flujo Caja'!R83</f>
        <v>45972.576770574749</v>
      </c>
      <c r="P70" s="2">
        <f>+O70+PyG!X154-'Flujo Caja'!S83</f>
        <v>3.7995778257027268E-7</v>
      </c>
      <c r="Q70" s="2">
        <f>+P70+PyG!Y154-'Flujo Caja'!T83</f>
        <v>3.7995778257027268E-7</v>
      </c>
      <c r="R70" s="2"/>
      <c r="S70" s="2"/>
      <c r="T70" s="2"/>
      <c r="U70" s="2"/>
    </row>
    <row r="71" spans="2:21" outlineLevel="2">
      <c r="B71" s="382" t="s">
        <v>695</v>
      </c>
      <c r="C71" s="2">
        <f>+SUBTOTAL(9,C72:C76)</f>
        <v>58297.360999999997</v>
      </c>
      <c r="D71" s="2">
        <f>+SUBTOTAL(9,D72:D76)</f>
        <v>69903.574999999997</v>
      </c>
      <c r="E71" s="2">
        <f t="shared" ref="E71:Q71" si="31">+SUBTOTAL(9,E72:E76)</f>
        <v>45225.526999999995</v>
      </c>
      <c r="F71" s="2">
        <f t="shared" si="31"/>
        <v>45225.526999999995</v>
      </c>
      <c r="G71" s="2">
        <f t="shared" si="31"/>
        <v>45225.526999999995</v>
      </c>
      <c r="H71" s="2">
        <f t="shared" si="31"/>
        <v>43225.526999999995</v>
      </c>
      <c r="I71" s="2">
        <f t="shared" si="31"/>
        <v>20163.940999999999</v>
      </c>
      <c r="J71" s="2">
        <f t="shared" si="31"/>
        <v>20163.940999999999</v>
      </c>
      <c r="K71" s="2">
        <f t="shared" si="31"/>
        <v>20163.940999999999</v>
      </c>
      <c r="L71" s="2">
        <f t="shared" si="31"/>
        <v>20163.940999999999</v>
      </c>
      <c r="M71" s="2">
        <f t="shared" si="31"/>
        <v>14701.517595318983</v>
      </c>
      <c r="N71" s="2">
        <f t="shared" si="31"/>
        <v>267.51759531898279</v>
      </c>
      <c r="O71" s="2">
        <f t="shared" si="31"/>
        <v>-456.35333000000173</v>
      </c>
      <c r="P71" s="2">
        <f t="shared" si="31"/>
        <v>-456.35333000000173</v>
      </c>
      <c r="Q71" s="2">
        <f t="shared" si="31"/>
        <v>-456.35333000000173</v>
      </c>
      <c r="R71" s="2"/>
      <c r="S71" s="2"/>
      <c r="T71" s="2"/>
      <c r="U71" s="2"/>
    </row>
    <row r="72" spans="2:21" outlineLevel="3">
      <c r="B72" s="383" t="s">
        <v>760</v>
      </c>
      <c r="C72" s="2"/>
      <c r="D72" s="2">
        <v>7374.8360000000002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2:21" outlineLevel="3">
      <c r="B73" s="383" t="s">
        <v>739</v>
      </c>
      <c r="C73" s="2">
        <v>17271.3</v>
      </c>
      <c r="D73" s="2">
        <v>23061.585999999999</v>
      </c>
      <c r="E73" s="2">
        <f>+D73</f>
        <v>23061.585999999999</v>
      </c>
      <c r="F73" s="2">
        <f t="shared" ref="F73:H73" si="32">+E73</f>
        <v>23061.585999999999</v>
      </c>
      <c r="G73" s="2">
        <f t="shared" si="32"/>
        <v>23061.585999999999</v>
      </c>
      <c r="H73" s="2">
        <f t="shared" si="32"/>
        <v>23061.585999999999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2:21" outlineLevel="3">
      <c r="B74" s="383" t="s">
        <v>768</v>
      </c>
      <c r="C74" s="2">
        <v>22548.012999999999</v>
      </c>
      <c r="D74" s="2">
        <v>17303.212</v>
      </c>
      <c r="E74" s="64">
        <v>0</v>
      </c>
      <c r="F74" s="64">
        <v>0</v>
      </c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2"/>
      <c r="S74" s="2"/>
      <c r="T74" s="2"/>
      <c r="U74" s="2"/>
    </row>
    <row r="75" spans="2:21" outlineLevel="3">
      <c r="B75" s="383" t="s">
        <v>747</v>
      </c>
      <c r="C75" s="2">
        <f>8423.545+6570.148</f>
        <v>14993.692999999999</v>
      </c>
      <c r="D75" s="2">
        <f>8256.088+6536.889</f>
        <v>14792.976999999999</v>
      </c>
      <c r="E75" s="2">
        <f>+D75-'Flujo Caja'!H88</f>
        <v>14792.976999999999</v>
      </c>
      <c r="F75" s="2">
        <f>+E75-'Flujo Caja'!I88</f>
        <v>14792.976999999999</v>
      </c>
      <c r="G75" s="2">
        <f>+F75-'Flujo Caja'!J88</f>
        <v>14792.976999999999</v>
      </c>
      <c r="H75" s="2">
        <f>+G75-'Flujo Caja'!K88</f>
        <v>12792.976999999999</v>
      </c>
      <c r="I75" s="2">
        <f>+H75-'Flujo Caja'!L88</f>
        <v>12792.976999999999</v>
      </c>
      <c r="J75" s="2">
        <f>+I75-'Flujo Caja'!M88</f>
        <v>12792.976999999999</v>
      </c>
      <c r="K75" s="2">
        <f>+J75-'Flujo Caja'!N88</f>
        <v>12792.976999999999</v>
      </c>
      <c r="L75" s="2">
        <f>+K75-'Flujo Caja'!O88</f>
        <v>12792.976999999999</v>
      </c>
      <c r="M75" s="2">
        <f>+L75-'Flujo Caja'!P88</f>
        <v>7330.5535953189828</v>
      </c>
      <c r="N75" s="2">
        <f>+M75-'Flujo Caja'!Q88</f>
        <v>-7103.4464046810172</v>
      </c>
      <c r="O75" s="2">
        <f>+N75-'Flujo Caja'!R88</f>
        <v>-7827.3173300000017</v>
      </c>
      <c r="P75" s="2">
        <f>+O75-'Flujo Caja'!S88</f>
        <v>-7827.3173300000017</v>
      </c>
      <c r="Q75" s="2">
        <f>+P75-'Flujo Caja'!T88</f>
        <v>-7827.3173300000017</v>
      </c>
      <c r="R75" s="2"/>
      <c r="S75" s="2"/>
      <c r="T75" s="2"/>
      <c r="U75" s="2"/>
    </row>
    <row r="76" spans="2:21" outlineLevel="3">
      <c r="B76" s="383" t="s">
        <v>710</v>
      </c>
      <c r="C76" s="2">
        <f>730.377+374.986+2378.992</f>
        <v>3484.355</v>
      </c>
      <c r="D76" s="2">
        <f>5014.469+474.156+1882.339</f>
        <v>7370.9639999999999</v>
      </c>
      <c r="E76" s="2">
        <f>+D76</f>
        <v>7370.9639999999999</v>
      </c>
      <c r="F76" s="2">
        <f t="shared" ref="F76:P76" si="33">+E76</f>
        <v>7370.9639999999999</v>
      </c>
      <c r="G76" s="2">
        <f t="shared" si="33"/>
        <v>7370.9639999999999</v>
      </c>
      <c r="H76" s="2">
        <f t="shared" si="33"/>
        <v>7370.9639999999999</v>
      </c>
      <c r="I76" s="2">
        <f t="shared" si="33"/>
        <v>7370.9639999999999</v>
      </c>
      <c r="J76" s="2">
        <f t="shared" si="33"/>
        <v>7370.9639999999999</v>
      </c>
      <c r="K76" s="2">
        <f t="shared" si="33"/>
        <v>7370.9639999999999</v>
      </c>
      <c r="L76" s="2">
        <f t="shared" si="33"/>
        <v>7370.9639999999999</v>
      </c>
      <c r="M76" s="2">
        <f t="shared" si="33"/>
        <v>7370.9639999999999</v>
      </c>
      <c r="N76" s="2">
        <f t="shared" si="33"/>
        <v>7370.9639999999999</v>
      </c>
      <c r="O76" s="2">
        <f t="shared" si="33"/>
        <v>7370.9639999999999</v>
      </c>
      <c r="P76" s="2">
        <f t="shared" si="33"/>
        <v>7370.9639999999999</v>
      </c>
      <c r="Q76" s="2">
        <f t="shared" ref="Q76" si="34">+P76</f>
        <v>7370.9639999999999</v>
      </c>
      <c r="R76" s="2"/>
      <c r="S76" s="2"/>
      <c r="T76" s="2"/>
      <c r="U76" s="2"/>
    </row>
    <row r="77" spans="2:21" outlineLevel="2">
      <c r="B77" s="382" t="s">
        <v>696</v>
      </c>
      <c r="C77" s="2">
        <v>908.36500000000001</v>
      </c>
      <c r="D77" s="2">
        <v>908.36500000000001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/>
      <c r="R77" s="2"/>
      <c r="S77" s="2"/>
      <c r="T77" s="2"/>
      <c r="U77" s="2"/>
    </row>
    <row r="78" spans="2:21" outlineLevel="2">
      <c r="B78" s="382" t="s">
        <v>697</v>
      </c>
      <c r="C78" s="2">
        <v>13348.293</v>
      </c>
      <c r="D78" s="2">
        <v>14191.93</v>
      </c>
      <c r="E78" s="2">
        <f>+($D$78-$P$78)/($D$1-$P$1)*(E1-$D$1)+$D$78</f>
        <v>14009.269166666667</v>
      </c>
      <c r="F78" s="2">
        <f t="shared" ref="F78:O78" si="35">+($D$78-$P$78)/($D$1-$P$1)*(F1-$D$1)+$D$78</f>
        <v>13826.608333333334</v>
      </c>
      <c r="G78" s="2">
        <f t="shared" si="35"/>
        <v>13643.9475</v>
      </c>
      <c r="H78" s="2">
        <f t="shared" si="35"/>
        <v>13461.286666666667</v>
      </c>
      <c r="I78" s="2">
        <f t="shared" si="35"/>
        <v>13278.625833333334</v>
      </c>
      <c r="J78" s="2">
        <f t="shared" si="35"/>
        <v>13095.965</v>
      </c>
      <c r="K78" s="2">
        <f t="shared" si="35"/>
        <v>12913.304166666667</v>
      </c>
      <c r="L78" s="2">
        <f t="shared" si="35"/>
        <v>12730.643333333333</v>
      </c>
      <c r="M78" s="2">
        <f t="shared" si="35"/>
        <v>12547.9825</v>
      </c>
      <c r="N78" s="2">
        <f t="shared" si="35"/>
        <v>12365.321666666667</v>
      </c>
      <c r="O78" s="2">
        <f t="shared" si="35"/>
        <v>12182.660833333333</v>
      </c>
      <c r="P78" s="2">
        <v>12000</v>
      </c>
      <c r="Q78" s="2">
        <v>12000</v>
      </c>
      <c r="R78" s="2"/>
      <c r="S78" s="2"/>
      <c r="T78" s="2"/>
      <c r="U78" s="2"/>
    </row>
    <row r="79" spans="2:21" outlineLevel="2">
      <c r="B79" s="382" t="s">
        <v>701</v>
      </c>
      <c r="C79" s="2">
        <v>13133.029</v>
      </c>
      <c r="D79" s="2">
        <v>18017.105</v>
      </c>
      <c r="E79" s="2">
        <f>+D79</f>
        <v>18017.105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2:21" outlineLevel="2">
      <c r="B80" s="382" t="s">
        <v>698</v>
      </c>
      <c r="C80" s="2">
        <v>4688.5730000000003</v>
      </c>
      <c r="D80" s="2">
        <v>4220.7139999999999</v>
      </c>
      <c r="E80" s="2">
        <v>3500</v>
      </c>
      <c r="F80" s="2">
        <v>3500</v>
      </c>
      <c r="G80" s="2">
        <v>3500</v>
      </c>
      <c r="H80" s="2">
        <v>3500</v>
      </c>
      <c r="I80" s="2">
        <v>3500</v>
      </c>
      <c r="J80" s="2">
        <v>3500</v>
      </c>
      <c r="K80" s="2">
        <v>3500</v>
      </c>
      <c r="L80" s="2">
        <v>3500</v>
      </c>
      <c r="M80" s="2">
        <v>3500</v>
      </c>
      <c r="N80" s="2">
        <v>3500</v>
      </c>
      <c r="O80" s="2">
        <v>3500</v>
      </c>
      <c r="P80" s="2">
        <v>3500</v>
      </c>
      <c r="Q80" s="2">
        <v>3500</v>
      </c>
      <c r="R80" s="2"/>
      <c r="S80" s="2"/>
      <c r="T80" s="2"/>
      <c r="U80" s="2"/>
    </row>
    <row r="81" spans="2:21" outlineLevel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2:21" outlineLevel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2:21">
      <c r="B83" t="s">
        <v>776</v>
      </c>
      <c r="C83" s="2">
        <f>+SUBTOTAL(9,C84:C89)</f>
        <v>-37.525999999983469</v>
      </c>
      <c r="D83" s="2">
        <f>+SUBTOTAL(9,D84:D89)</f>
        <v>-1851.1259999999966</v>
      </c>
      <c r="E83" s="2">
        <f>+SUBTOTAL(9,E84:E89)</f>
        <v>-20545.597926543112</v>
      </c>
      <c r="F83" s="2">
        <f t="shared" ref="F83:R83" si="36">+SUBTOTAL(9,F84:F89)</f>
        <v>-33128.210271511954</v>
      </c>
      <c r="G83" s="2">
        <f t="shared" si="36"/>
        <v>-33951.432484426463</v>
      </c>
      <c r="H83" s="2">
        <f t="shared" si="36"/>
        <v>-30553.288361556442</v>
      </c>
      <c r="I83" s="2">
        <f t="shared" si="36"/>
        <v>-17594.991027633398</v>
      </c>
      <c r="J83" s="2">
        <f t="shared" si="36"/>
        <v>631.63558466975519</v>
      </c>
      <c r="K83" s="2">
        <f t="shared" si="36"/>
        <v>16812.586849962754</v>
      </c>
      <c r="L83" s="2">
        <f t="shared" si="36"/>
        <v>37315.077190907949</v>
      </c>
      <c r="M83" s="2">
        <f t="shared" si="36"/>
        <v>60913.504734569753</v>
      </c>
      <c r="N83" s="2">
        <f t="shared" si="36"/>
        <v>87559.066365058519</v>
      </c>
      <c r="O83" s="2">
        <f t="shared" si="36"/>
        <v>117280.92388374088</v>
      </c>
      <c r="P83" s="2">
        <f t="shared" si="36"/>
        <v>149406.40291418514</v>
      </c>
      <c r="Q83" s="2">
        <f t="shared" ref="Q83" si="37">+SUBTOTAL(9,Q84:Q89)</f>
        <v>181202.45436662924</v>
      </c>
      <c r="R83" s="2">
        <f t="shared" si="36"/>
        <v>0</v>
      </c>
      <c r="S83" s="2"/>
      <c r="T83" s="2"/>
      <c r="U83" s="2"/>
    </row>
    <row r="84" spans="2:21" outlineLevel="1">
      <c r="B84" s="4" t="s">
        <v>702</v>
      </c>
      <c r="C84" s="2">
        <v>3669.7739999999999</v>
      </c>
      <c r="D84" s="2">
        <v>3669.7739999999999</v>
      </c>
      <c r="E84" s="2">
        <v>3669.7739999999999</v>
      </c>
      <c r="F84" s="2">
        <v>3669.7739999999999</v>
      </c>
      <c r="G84" s="2">
        <v>3669.7739999999999</v>
      </c>
      <c r="H84" s="2">
        <v>3669.7739999999999</v>
      </c>
      <c r="I84" s="2">
        <v>3669.7739999999999</v>
      </c>
      <c r="J84" s="2">
        <v>3669.7739999999999</v>
      </c>
      <c r="K84" s="2">
        <v>3669.7739999999999</v>
      </c>
      <c r="L84" s="2">
        <v>3669.7739999999999</v>
      </c>
      <c r="M84" s="2">
        <v>3669.7739999999999</v>
      </c>
      <c r="N84" s="2">
        <v>3669.7739999999999</v>
      </c>
      <c r="O84" s="2">
        <v>3669.7739999999999</v>
      </c>
      <c r="P84" s="2">
        <v>3669.7739999999999</v>
      </c>
      <c r="Q84" s="2">
        <v>3669.7739999999999</v>
      </c>
      <c r="R84" s="2"/>
      <c r="S84" s="2"/>
      <c r="T84" s="2"/>
      <c r="U84" s="2"/>
    </row>
    <row r="85" spans="2:21" outlineLevel="1">
      <c r="B85" s="4" t="s">
        <v>703</v>
      </c>
      <c r="C85" s="2">
        <v>29067.69</v>
      </c>
      <c r="D85" s="2">
        <v>29067.69</v>
      </c>
      <c r="E85" s="2">
        <v>29067.69</v>
      </c>
      <c r="F85" s="2">
        <v>29067.69</v>
      </c>
      <c r="G85" s="2">
        <v>29067.69</v>
      </c>
      <c r="H85" s="2">
        <v>29067.69</v>
      </c>
      <c r="I85" s="2">
        <v>29067.69</v>
      </c>
      <c r="J85" s="2">
        <v>29067.69</v>
      </c>
      <c r="K85" s="2">
        <v>29067.69</v>
      </c>
      <c r="L85" s="2">
        <v>29067.69</v>
      </c>
      <c r="M85" s="2">
        <v>29067.69</v>
      </c>
      <c r="N85" s="2">
        <v>29067.69</v>
      </c>
      <c r="O85" s="2">
        <v>29067.69</v>
      </c>
      <c r="P85" s="2">
        <v>29067.69</v>
      </c>
      <c r="Q85" s="2">
        <v>29067.69</v>
      </c>
    </row>
    <row r="86" spans="2:21" outlineLevel="1">
      <c r="B86" s="4" t="s">
        <v>704</v>
      </c>
      <c r="C86" s="2">
        <v>6968.7709999999997</v>
      </c>
      <c r="D86" s="2">
        <v>6968.7709999999997</v>
      </c>
      <c r="E86" s="2">
        <v>6968.7709999999997</v>
      </c>
      <c r="F86" s="2">
        <v>6968.7709999999997</v>
      </c>
      <c r="G86" s="2">
        <v>6968.7709999999997</v>
      </c>
      <c r="H86" s="2">
        <v>6968.7709999999997</v>
      </c>
      <c r="I86" s="2">
        <v>6968.7709999999997</v>
      </c>
      <c r="J86" s="2">
        <v>6968.7709999999997</v>
      </c>
      <c r="K86" s="2">
        <v>6968.7709999999997</v>
      </c>
      <c r="L86" s="2">
        <v>6968.7709999999997</v>
      </c>
      <c r="M86" s="2">
        <v>6968.7709999999997</v>
      </c>
      <c r="N86" s="2">
        <v>6968.7709999999997</v>
      </c>
      <c r="O86" s="2">
        <v>6968.7709999999997</v>
      </c>
      <c r="P86" s="2">
        <v>6968.7709999999997</v>
      </c>
      <c r="Q86" s="2">
        <v>6968.7709999999997</v>
      </c>
    </row>
    <row r="87" spans="2:21" outlineLevel="1">
      <c r="B87" s="4" t="s">
        <v>705</v>
      </c>
      <c r="C87" s="2">
        <v>34086.582000000002</v>
      </c>
      <c r="D87" s="2">
        <v>-1813.6</v>
      </c>
      <c r="E87" s="2">
        <f>+PyG!M161</f>
        <v>-18694.471926543116</v>
      </c>
      <c r="F87" s="2">
        <f>+PyG!N161</f>
        <v>-12582.612344968848</v>
      </c>
      <c r="G87" s="2">
        <f>+PyG!O161</f>
        <v>-823.2222129145066</v>
      </c>
      <c r="H87" s="2">
        <f>+PyG!P161</f>
        <v>3398.1441228700223</v>
      </c>
      <c r="I87" s="2">
        <f>+PyG!Q161</f>
        <v>12958.297333923041</v>
      </c>
      <c r="J87" s="2">
        <f>+PyG!R161</f>
        <v>18226.626612303149</v>
      </c>
      <c r="K87" s="2">
        <f>+PyG!S161</f>
        <v>16180.951265292995</v>
      </c>
      <c r="L87" s="2">
        <f>+PyG!T161</f>
        <v>20502.490340945202</v>
      </c>
      <c r="M87" s="2">
        <f>+PyG!U161</f>
        <v>23598.427543661805</v>
      </c>
      <c r="N87" s="2">
        <f>+PyG!V161</f>
        <v>26645.561630488759</v>
      </c>
      <c r="O87" s="2">
        <f>+PyG!W161</f>
        <v>29721.857518682358</v>
      </c>
      <c r="P87" s="2">
        <f>+PyG!X161</f>
        <v>32125.479030444265</v>
      </c>
      <c r="Q87" s="2">
        <f>+PyG!Y161</f>
        <v>31796.051452444095</v>
      </c>
    </row>
    <row r="88" spans="2:21" outlineLevel="1">
      <c r="B88" s="4" t="s">
        <v>706</v>
      </c>
      <c r="C88" s="2">
        <v>-73830.342999999993</v>
      </c>
      <c r="D88" s="2">
        <v>-39743.760999999999</v>
      </c>
      <c r="E88" s="2">
        <f>+D88+D87</f>
        <v>-41557.360999999997</v>
      </c>
      <c r="F88" s="2">
        <f t="shared" ref="F88:Q88" si="38">+E88+E87</f>
        <v>-60251.832926543109</v>
      </c>
      <c r="G88" s="2">
        <f t="shared" si="38"/>
        <v>-72834.445271511955</v>
      </c>
      <c r="H88" s="2">
        <f t="shared" si="38"/>
        <v>-73657.667484426463</v>
      </c>
      <c r="I88" s="2">
        <f t="shared" si="38"/>
        <v>-70259.523361556436</v>
      </c>
      <c r="J88" s="2">
        <f t="shared" si="38"/>
        <v>-57301.226027633398</v>
      </c>
      <c r="K88" s="2">
        <f t="shared" si="38"/>
        <v>-39074.599415330245</v>
      </c>
      <c r="L88" s="2">
        <f t="shared" si="38"/>
        <v>-22893.64815003725</v>
      </c>
      <c r="M88" s="2">
        <f t="shared" si="38"/>
        <v>-2391.1578090920484</v>
      </c>
      <c r="N88" s="2">
        <f t="shared" si="38"/>
        <v>21207.269734569756</v>
      </c>
      <c r="O88" s="2">
        <f t="shared" si="38"/>
        <v>47852.831365058519</v>
      </c>
      <c r="P88" s="2">
        <f t="shared" si="38"/>
        <v>77574.688883740877</v>
      </c>
      <c r="Q88" s="2">
        <f t="shared" si="38"/>
        <v>109700.16791418515</v>
      </c>
    </row>
    <row r="89" spans="2:21">
      <c r="C89" s="2"/>
      <c r="D89" s="2"/>
      <c r="E89" s="2"/>
    </row>
    <row r="90" spans="2:21">
      <c r="C90" s="2"/>
      <c r="D90" s="2"/>
      <c r="E90" s="2"/>
    </row>
    <row r="91" spans="2:21">
      <c r="B91" t="s">
        <v>707</v>
      </c>
      <c r="C91" s="2">
        <f>+SUBTOTAL(9,C47:C88)</f>
        <v>325889.1129999999</v>
      </c>
      <c r="D91" s="2">
        <f>+SUBTOTAL(9,D47:D88)</f>
        <v>357261.28799999994</v>
      </c>
      <c r="E91" s="2">
        <f>+SUBTOTAL(9,E47:E88)</f>
        <v>264212.794819262</v>
      </c>
      <c r="F91" s="2">
        <f t="shared" ref="F91:P91" si="39">+SUBTOTAL(9,F47:F88)</f>
        <v>259860.22913682615</v>
      </c>
      <c r="G91" s="2">
        <f t="shared" si="39"/>
        <v>302416.43105888728</v>
      </c>
      <c r="H91" s="2">
        <f t="shared" si="39"/>
        <v>346992.56687148969</v>
      </c>
      <c r="I91" s="2">
        <f t="shared" si="39"/>
        <v>350434.19505533634</v>
      </c>
      <c r="J91" s="2">
        <f t="shared" si="39"/>
        <v>393526.25998276949</v>
      </c>
      <c r="K91" s="2">
        <f t="shared" si="39"/>
        <v>431034.65660936746</v>
      </c>
      <c r="L91" s="2">
        <f t="shared" si="39"/>
        <v>478591.31542113249</v>
      </c>
      <c r="M91" s="2">
        <f t="shared" si="39"/>
        <v>528940.66364233859</v>
      </c>
      <c r="N91" s="2">
        <f t="shared" si="39"/>
        <v>570947.58625936706</v>
      </c>
      <c r="O91" s="2">
        <f t="shared" si="39"/>
        <v>607629.49188285961</v>
      </c>
      <c r="P91" s="2">
        <f t="shared" si="39"/>
        <v>588498.77786024101</v>
      </c>
      <c r="Q91" s="2">
        <f t="shared" ref="Q91" si="40">+SUBTOTAL(9,Q47:Q88)</f>
        <v>600857.72907371167</v>
      </c>
    </row>
    <row r="92" spans="2:21">
      <c r="C92" s="2"/>
      <c r="D92" s="2"/>
    </row>
    <row r="93" spans="2:21">
      <c r="C93" s="2">
        <f>+C91-C2</f>
        <v>7.399999990593642E-2</v>
      </c>
      <c r="D93" s="2">
        <f t="shared" ref="D93:Q93" si="41">+D91-D2</f>
        <v>-0.83500000007916242</v>
      </c>
      <c r="E93" s="2">
        <f t="shared" si="41"/>
        <v>0</v>
      </c>
      <c r="F93" s="2">
        <f t="shared" si="41"/>
        <v>0</v>
      </c>
      <c r="G93" s="2">
        <f t="shared" si="41"/>
        <v>0</v>
      </c>
      <c r="H93" s="2">
        <f t="shared" si="41"/>
        <v>0</v>
      </c>
      <c r="I93" s="2">
        <f t="shared" si="41"/>
        <v>0</v>
      </c>
      <c r="J93" s="2">
        <f t="shared" si="41"/>
        <v>0</v>
      </c>
      <c r="K93" s="2">
        <f t="shared" si="41"/>
        <v>0</v>
      </c>
      <c r="L93" s="2">
        <f t="shared" si="41"/>
        <v>0</v>
      </c>
      <c r="M93" s="2">
        <f t="shared" si="41"/>
        <v>0</v>
      </c>
      <c r="N93" s="2">
        <f t="shared" si="41"/>
        <v>0</v>
      </c>
      <c r="O93" s="2">
        <f t="shared" si="41"/>
        <v>0</v>
      </c>
      <c r="P93" s="2">
        <f t="shared" si="41"/>
        <v>-20000</v>
      </c>
      <c r="Q93" s="2">
        <f t="shared" si="41"/>
        <v>-20054.809999999939</v>
      </c>
    </row>
  </sheetData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EB154"/>
  <sheetViews>
    <sheetView tabSelected="1" topLeftCell="B1" zoomScale="150" zoomScaleNormal="150" zoomScalePageLayoutView="150" workbookViewId="0">
      <selection activeCell="A32" sqref="A32:XFD32"/>
    </sheetView>
  </sheetViews>
  <sheetFormatPr baseColWidth="10" defaultRowHeight="16"/>
  <cols>
    <col min="1" max="1" width="18.6640625" bestFit="1" customWidth="1"/>
    <col min="2" max="2" width="37.6640625" bestFit="1" customWidth="1"/>
    <col min="3" max="3" width="15" hidden="1" customWidth="1"/>
    <col min="4" max="4" width="16.6640625" hidden="1" customWidth="1"/>
    <col min="5" max="5" width="11.5" hidden="1" customWidth="1"/>
    <col min="6" max="6" width="2" hidden="1" customWidth="1"/>
    <col min="7" max="7" width="15.6640625" hidden="1" customWidth="1"/>
    <col min="8" max="8" width="12.1640625" bestFit="1" customWidth="1"/>
    <col min="9" max="10" width="9.1640625" bestFit="1" customWidth="1"/>
    <col min="11" max="11" width="8.83203125" bestFit="1" customWidth="1"/>
    <col min="12" max="12" width="9" bestFit="1" customWidth="1"/>
    <col min="13" max="13" width="10.83203125" bestFit="1" customWidth="1"/>
    <col min="14" max="15" width="9" bestFit="1" customWidth="1"/>
    <col min="16" max="16" width="12.1640625" bestFit="1" customWidth="1"/>
    <col min="17" max="17" width="9" bestFit="1" customWidth="1"/>
    <col min="18" max="18" width="12.1640625" bestFit="1" customWidth="1"/>
    <col min="19" max="23" width="9" bestFit="1" customWidth="1"/>
    <col min="24" max="25" width="8.83203125" bestFit="1" customWidth="1"/>
    <col min="26" max="27" width="10.5" bestFit="1" customWidth="1"/>
  </cols>
  <sheetData>
    <row r="1" spans="1:28" ht="29">
      <c r="B1" s="407" t="s">
        <v>777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28" ht="24">
      <c r="B2" s="406" t="s">
        <v>144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</row>
    <row r="3" spans="1:28">
      <c r="B3" s="401" t="s">
        <v>778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</row>
    <row r="5" spans="1:28">
      <c r="B5" s="138" t="s">
        <v>144</v>
      </c>
      <c r="C5" s="133" t="s">
        <v>148</v>
      </c>
      <c r="D5" s="133" t="s">
        <v>149</v>
      </c>
      <c r="E5" s="133">
        <v>2017</v>
      </c>
      <c r="F5" s="133">
        <v>2018</v>
      </c>
      <c r="G5" s="133">
        <f>+'Ventas externas'!L4</f>
        <v>2019</v>
      </c>
      <c r="H5" s="133">
        <f>+'Ventas externas'!M4</f>
        <v>2020</v>
      </c>
      <c r="I5" s="133">
        <f>+'Ventas externas'!N4</f>
        <v>2021</v>
      </c>
      <c r="J5" s="133">
        <f>+'Ventas externas'!O4</f>
        <v>2022</v>
      </c>
      <c r="K5" s="133">
        <f>+'Ventas externas'!P4</f>
        <v>2023</v>
      </c>
      <c r="L5" s="133">
        <f>+'Ventas externas'!Q4</f>
        <v>2024</v>
      </c>
      <c r="M5" s="133">
        <f>+'Ventas externas'!R4</f>
        <v>2025</v>
      </c>
      <c r="N5" s="133">
        <f>+'Ventas externas'!S4</f>
        <v>2026</v>
      </c>
      <c r="O5" s="133">
        <f>+'Ventas externas'!T4</f>
        <v>2027</v>
      </c>
      <c r="P5" s="133">
        <f>+'Ventas externas'!U4</f>
        <v>2028</v>
      </c>
      <c r="Q5" s="133">
        <f>+'Ventas externas'!V4</f>
        <v>2029</v>
      </c>
      <c r="R5" s="133">
        <f>+'Ventas externas'!W4</f>
        <v>2030</v>
      </c>
      <c r="S5" s="133">
        <f>+'Ventas externas'!X4</f>
        <v>2031</v>
      </c>
      <c r="T5" s="133">
        <f>+'Ventas externas'!Y4</f>
        <v>2032</v>
      </c>
      <c r="U5" s="133">
        <f>+'Ventas externas'!Z4</f>
        <v>2033</v>
      </c>
      <c r="V5" s="133">
        <f>+'Ventas externas'!AA4</f>
        <v>2034</v>
      </c>
      <c r="W5" s="133">
        <f>+'Ventas externas'!AB4</f>
        <v>2035</v>
      </c>
      <c r="X5" s="133">
        <f>+'Ventas externas'!AC4</f>
        <v>2036</v>
      </c>
      <c r="Y5" s="133">
        <f>+'Ventas externas'!AD4</f>
        <v>2037</v>
      </c>
      <c r="Z5" s="133">
        <f>+'Ventas externas'!AE4</f>
        <v>2038</v>
      </c>
      <c r="AA5" s="133">
        <f>+'Ventas externas'!AF4</f>
        <v>2039</v>
      </c>
    </row>
    <row r="6" spans="1:28" ht="5" customHeight="1">
      <c r="B6" s="139"/>
    </row>
    <row r="7" spans="1:28">
      <c r="B7" s="142" t="s">
        <v>145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>
      <c r="B8" s="139" t="s">
        <v>257</v>
      </c>
      <c r="E8" s="2"/>
      <c r="F8" s="2"/>
      <c r="G8" s="64">
        <f>+PyG!L44</f>
        <v>12900</v>
      </c>
      <c r="H8" s="64">
        <f>+PyG!M44</f>
        <v>2663.2749999999996</v>
      </c>
      <c r="I8" s="64">
        <f>+PyG!N44</f>
        <v>6580.474400000001</v>
      </c>
      <c r="J8" s="64">
        <f>+PyG!O44</f>
        <v>11688.281375999999</v>
      </c>
      <c r="K8" s="64">
        <f>+PyG!P44</f>
        <v>16109.41663104</v>
      </c>
      <c r="L8" s="64">
        <f>+PyG!Q44</f>
        <v>20755.475881881601</v>
      </c>
      <c r="M8" s="64">
        <f>+PyG!R44</f>
        <v>22186.611909156865</v>
      </c>
      <c r="N8" s="64">
        <f>+PyG!S44</f>
        <v>23719.028574696906</v>
      </c>
      <c r="O8" s="64">
        <f>+PyG!T44</f>
        <v>25360.004003281196</v>
      </c>
      <c r="P8" s="64">
        <f>+PyG!U44</f>
        <v>27117.343911857362</v>
      </c>
      <c r="Q8" s="64">
        <f>+PyG!V44</f>
        <v>28999.420041542617</v>
      </c>
      <c r="R8" s="64">
        <f>+PyG!W44</f>
        <v>30426.838891179283</v>
      </c>
      <c r="S8" s="64">
        <f>+PyG!X44+10000</f>
        <v>42542.860053843717</v>
      </c>
      <c r="T8" s="64">
        <f>+PyG!Y44</f>
        <v>34809.396943656953</v>
      </c>
      <c r="U8" s="64">
        <f>+PyG!Z44</f>
        <v>37237.297500958412</v>
      </c>
      <c r="V8" s="64">
        <f>+PyG!AA44</f>
        <v>39838.197329069735</v>
      </c>
      <c r="W8" s="64">
        <f>+PyG!AB44</f>
        <v>42624.577123274692</v>
      </c>
      <c r="X8" s="64">
        <f>+PyG!AC44</f>
        <v>44729.642735815229</v>
      </c>
      <c r="Y8" s="64">
        <f>+PyG!AD44</f>
        <v>47863.617843651242</v>
      </c>
      <c r="Z8" s="64">
        <f>+PyG!AE44</f>
        <v>51221.498122915698</v>
      </c>
      <c r="AA8" s="64">
        <f>+PyG!AF44</f>
        <v>54819.461243591926</v>
      </c>
      <c r="AB8" s="2"/>
    </row>
    <row r="9" spans="1:28">
      <c r="B9" s="139" t="s">
        <v>146</v>
      </c>
      <c r="C9" s="12">
        <f>+Proyecciones!C15</f>
        <v>0.02</v>
      </c>
      <c r="D9">
        <v>1</v>
      </c>
      <c r="E9" s="2"/>
      <c r="F9" s="2"/>
      <c r="G9" s="64">
        <f>-(+PyG!L6-+PyG!K6)*$C9</f>
        <v>1173.76</v>
      </c>
      <c r="H9" s="64">
        <f>-(+PyG!M6-+PyG!L6)*$C9</f>
        <v>667.78</v>
      </c>
      <c r="I9" s="64">
        <f>-(+PyG!N6-+PyG!M6)*$C9</f>
        <v>-823.4047999999998</v>
      </c>
      <c r="J9" s="64">
        <f>-(+PyG!O6-+PyG!N6)*$C9</f>
        <v>-616.42979200000002</v>
      </c>
      <c r="K9" s="64">
        <f>-(+PyG!P6-+PyG!O6)*$C9</f>
        <v>-1313.7885836800001</v>
      </c>
      <c r="L9" s="64">
        <f>-(+PyG!Q6-+PyG!P6)*$C9</f>
        <v>-1251.902448947201</v>
      </c>
      <c r="M9" s="64">
        <f>-(+PyG!R6-+PyG!Q6)*$C9</f>
        <v>-452.72188898508784</v>
      </c>
      <c r="N9" s="64">
        <f>-(+PyG!S6-+PyG!R6)*$C9</f>
        <v>-485.50916360241246</v>
      </c>
      <c r="O9" s="64">
        <f>-(+PyG!T6-+PyG!S6)*$C9</f>
        <v>-520.68356228739378</v>
      </c>
      <c r="P9" s="64">
        <f>-(+PyG!U6-+PyG!T6)*$C9</f>
        <v>-558.41939239505678</v>
      </c>
      <c r="Q9" s="64">
        <f>-(+PyG!V6-+PyG!U6)*$C9</f>
        <v>-598.9037096795405</v>
      </c>
      <c r="R9" s="64">
        <f>-(+PyG!W6-+PyG!V6)*$C9</f>
        <v>-446.21308298805383</v>
      </c>
      <c r="S9" s="64">
        <f>-(+PyG!X6-+PyG!W6)*$C9</f>
        <v>-674.56345932167608</v>
      </c>
      <c r="T9" s="64">
        <f>-(+PyG!Y6-+PyG!X6)*$C9</f>
        <v>-723.50429124195364</v>
      </c>
      <c r="U9" s="64">
        <f>-(+PyG!Z6-+PyG!Y6)*$C9</f>
        <v>-776.0118601901969</v>
      </c>
      <c r="V9" s="64">
        <f>-(+PyG!AA6-+PyG!Z6)*$C9</f>
        <v>-832.3467507704022</v>
      </c>
      <c r="W9" s="64">
        <f>-(+PyG!AB6-+PyG!AA6)*$C9</f>
        <v>-892.78861179094758</v>
      </c>
      <c r="X9" s="64">
        <f>-(+PyG!AC6-+PyG!AB6)*$C9</f>
        <v>-664.24369845171464</v>
      </c>
      <c r="Y9" s="64">
        <f>-(+PyG!AD6-+PyG!AC6)*$C9</f>
        <v>-1005.7157366544009</v>
      </c>
      <c r="Z9" s="64">
        <f>-(+PyG!AE6-+PyG!AD6)*$C9</f>
        <v>-1078.7930884922459</v>
      </c>
      <c r="AA9" s="64">
        <f>-(+PyG!AF6-+PyG!AE6)*$C9</f>
        <v>-1157.2006887790003</v>
      </c>
      <c r="AB9" s="2"/>
    </row>
    <row r="10" spans="1:28">
      <c r="B10" s="139" t="s">
        <v>147</v>
      </c>
      <c r="C10" s="12">
        <f>+Proyecciones!C16</f>
        <v>0.01</v>
      </c>
      <c r="D10">
        <v>1</v>
      </c>
      <c r="E10" s="2"/>
      <c r="F10" s="2"/>
      <c r="G10" s="64">
        <f>-(+PyG!L6-+PyG!K6)*$C10</f>
        <v>586.88</v>
      </c>
      <c r="H10" s="64">
        <f>-(+PyG!M6-+PyG!L6)*$C10</f>
        <v>333.89</v>
      </c>
      <c r="I10" s="64">
        <f>-(+PyG!N6-+PyG!M6)*$C10</f>
        <v>-411.7023999999999</v>
      </c>
      <c r="J10" s="64">
        <f>-(+PyG!O6-+PyG!N6)*$C10</f>
        <v>-308.21489600000001</v>
      </c>
      <c r="K10" s="64">
        <f>-(+PyG!P6-+PyG!O6)*$C10</f>
        <v>-656.89429184000005</v>
      </c>
      <c r="L10" s="64">
        <f>-(+PyG!Q6-+PyG!P6)*$C10</f>
        <v>-625.95122447360052</v>
      </c>
      <c r="M10" s="64">
        <f>-(+PyG!R6-+PyG!Q6)*$C10</f>
        <v>-226.36094449254392</v>
      </c>
      <c r="N10" s="64">
        <f>-(+PyG!S6-+PyG!R6)*$C10</f>
        <v>-242.75458180120623</v>
      </c>
      <c r="O10" s="64">
        <f>-(+PyG!T6-+PyG!S6)*$C10</f>
        <v>-260.34178114369689</v>
      </c>
      <c r="P10" s="64">
        <f>-(+PyG!U6-+PyG!T6)*$C10</f>
        <v>-279.20969619752839</v>
      </c>
      <c r="Q10" s="64">
        <f>-(+PyG!V6-+PyG!U6)*$C10</f>
        <v>-299.45185483977025</v>
      </c>
      <c r="R10" s="64">
        <f>-(+PyG!W6-+PyG!V6)*$C10</f>
        <v>-223.10654149402691</v>
      </c>
      <c r="S10" s="64">
        <f>-(+PyG!X6-+PyG!W6)*$C10</f>
        <v>-337.28172966083804</v>
      </c>
      <c r="T10" s="64">
        <f>-(+PyG!Y6-+PyG!X6)*$C10</f>
        <v>-361.75214562097682</v>
      </c>
      <c r="U10" s="64">
        <f>-(+PyG!Z6-+PyG!Y6)*$C10</f>
        <v>-388.00593009509845</v>
      </c>
      <c r="V10" s="64">
        <f>-(+PyG!AA6-+PyG!Z6)*$C10</f>
        <v>-416.1733753852011</v>
      </c>
      <c r="W10" s="64">
        <f>-(+PyG!AB6-+PyG!AA6)*$C10</f>
        <v>-446.39430589547379</v>
      </c>
      <c r="X10" s="64">
        <f>-(+PyG!AC6-+PyG!AB6)*$C10</f>
        <v>-332.12184922585732</v>
      </c>
      <c r="Y10" s="64">
        <f>-(+PyG!AD6-+PyG!AC6)*$C10</f>
        <v>-502.85786832720044</v>
      </c>
      <c r="Z10" s="64">
        <f>-(+PyG!AE6-+PyG!AD6)*$C10</f>
        <v>-539.39654424612297</v>
      </c>
      <c r="AA10" s="64">
        <f>-(+PyG!AF6-+PyG!AE6)*$C10</f>
        <v>-578.60034438950015</v>
      </c>
      <c r="AB10" s="2"/>
    </row>
    <row r="11" spans="1:28">
      <c r="B11" s="139" t="s">
        <v>150</v>
      </c>
      <c r="C11" s="12">
        <f>+Proyecciones!C17</f>
        <v>0.08</v>
      </c>
      <c r="D11" t="s">
        <v>2</v>
      </c>
      <c r="E11" s="2"/>
      <c r="F11" s="2"/>
      <c r="G11" s="64">
        <v>1189</v>
      </c>
      <c r="H11" s="64">
        <f>-(+PyG!M6-+PyG!L6)*$C11/2</f>
        <v>1335.56</v>
      </c>
      <c r="I11" s="64">
        <f>-(+PyG!N6-+PyG!M6)*$C11/2</f>
        <v>-1646.8095999999996</v>
      </c>
      <c r="J11" s="64">
        <f>-(+PyG!O6-+PyG!N6)*$C11/2</f>
        <v>-1232.859584</v>
      </c>
      <c r="K11" s="64">
        <f>-(+PyG!P6-+PyG!O6)*$C11</f>
        <v>-5255.1543347200004</v>
      </c>
      <c r="L11" s="64">
        <f>-(+PyG!Q6-+PyG!P6)*$C11</f>
        <v>-5007.6097957888041</v>
      </c>
      <c r="M11" s="64">
        <f>-(+PyG!R6-+PyG!Q6)*$C11</f>
        <v>-1810.8875559403514</v>
      </c>
      <c r="N11" s="64">
        <f>-(+PyG!S6-+PyG!R6)*$C11</f>
        <v>-1942.0366544096498</v>
      </c>
      <c r="O11" s="64">
        <f>-(+PyG!T6-+PyG!S6)*$C11</f>
        <v>-2082.7342491495751</v>
      </c>
      <c r="P11" s="64">
        <f>-(+PyG!U6-+PyG!T6)*$C11</f>
        <v>-2233.6775695802271</v>
      </c>
      <c r="Q11" s="64">
        <f>-(+PyG!V6-+PyG!U6)*$C11</f>
        <v>-2395.614838718162</v>
      </c>
      <c r="R11" s="64">
        <f>-(+PyG!W6-+PyG!V6)*$C11</f>
        <v>-1784.8523319522153</v>
      </c>
      <c r="S11" s="64">
        <f>-(+PyG!X6-+PyG!W6)*$C11</f>
        <v>-2698.2538372867043</v>
      </c>
      <c r="T11" s="64">
        <f>-(+PyG!Y6-+PyG!X6)*$C11</f>
        <v>-2894.0171649678146</v>
      </c>
      <c r="U11" s="64">
        <f>-(+PyG!Z6-+PyG!Y6)*$C11</f>
        <v>-3104.0474407607876</v>
      </c>
      <c r="V11" s="64">
        <f>-(+PyG!AA6-+PyG!Z6)*$C11</f>
        <v>-3329.3870030816088</v>
      </c>
      <c r="W11" s="64">
        <f>-(+PyG!AB6-+PyG!AA6)*$C11</f>
        <v>-3571.1544471637903</v>
      </c>
      <c r="X11" s="64">
        <f>-(+PyG!AC6-+PyG!AB6)*$C11</f>
        <v>-2656.9747938068585</v>
      </c>
      <c r="Y11" s="64">
        <f>-(+PyG!AD6-+PyG!AC6)*$C11</f>
        <v>-4022.8629466176035</v>
      </c>
      <c r="Z11" s="64">
        <f>-(+PyG!AE6-+PyG!AD6)*$C11</f>
        <v>-4315.1723539689838</v>
      </c>
      <c r="AA11" s="64">
        <f>-(+PyG!AF6-+PyG!AE6)*$C11</f>
        <v>-4628.8027551160012</v>
      </c>
      <c r="AB11" s="2"/>
    </row>
    <row r="12" spans="1:28">
      <c r="B12" s="139" t="s">
        <v>4</v>
      </c>
      <c r="C12" s="12">
        <f>+Proyecciones!C20</f>
        <v>2E-3</v>
      </c>
      <c r="D12" t="s">
        <v>2</v>
      </c>
      <c r="E12" s="2"/>
      <c r="F12" s="2"/>
      <c r="G12" s="64">
        <f>-+PyG!L6*$C12</f>
        <v>-297.26600000000002</v>
      </c>
      <c r="H12" s="64">
        <f>-+PyG!M6*$C12</f>
        <v>-230.488</v>
      </c>
      <c r="I12" s="64">
        <f>-+PyG!N6*$C12</f>
        <v>-312.82848000000001</v>
      </c>
      <c r="J12" s="64">
        <f>-+PyG!O6*$C12</f>
        <v>-374.47145919999997</v>
      </c>
      <c r="K12" s="64">
        <f>-+PyG!P6*$C12</f>
        <v>-505.85031756800004</v>
      </c>
      <c r="L12" s="64">
        <f>-+PyG!Q6*$C12</f>
        <v>-631.04056246272012</v>
      </c>
      <c r="M12" s="64">
        <f>-+PyG!R6*$C12</f>
        <v>-676.31275136122883</v>
      </c>
      <c r="N12" s="64">
        <f>-+PyG!S6*$C12</f>
        <v>-724.86366772147016</v>
      </c>
      <c r="O12" s="64">
        <f>-+PyG!T6*$C12</f>
        <v>-776.93202395020955</v>
      </c>
      <c r="P12" s="64">
        <f>-+PyG!U6*$C12</f>
        <v>-832.77396318971523</v>
      </c>
      <c r="Q12" s="64">
        <f>-+PyG!V6*$C12</f>
        <v>-892.66433415766926</v>
      </c>
      <c r="R12" s="64">
        <f>-+PyG!W6*$C12</f>
        <v>-937.28564245647465</v>
      </c>
      <c r="S12" s="64">
        <f>-+PyG!X6*$C12</f>
        <v>-1004.7419883886422</v>
      </c>
      <c r="T12" s="64">
        <f>-+PyG!Y6*$C12</f>
        <v>-1077.0924175128375</v>
      </c>
      <c r="U12" s="64">
        <f>-+PyG!Z6*$C12</f>
        <v>-1154.6936035318572</v>
      </c>
      <c r="V12" s="64">
        <f>-+PyG!AA6*$C12</f>
        <v>-1237.9282786088975</v>
      </c>
      <c r="W12" s="64">
        <f>-+PyG!AB6*$C12</f>
        <v>-1327.2071397879922</v>
      </c>
      <c r="X12" s="64">
        <f>-+PyG!AC6*$C12</f>
        <v>-1393.6315096331637</v>
      </c>
      <c r="Y12" s="64">
        <f>-+PyG!AD6*$C12</f>
        <v>-1494.2030832986038</v>
      </c>
      <c r="Z12" s="64">
        <f>-+PyG!AE6*$C12</f>
        <v>-1602.0823921478284</v>
      </c>
      <c r="AA12" s="64">
        <f>-+PyG!AF6*$C12</f>
        <v>-1717.8024610257285</v>
      </c>
      <c r="AB12" s="2"/>
    </row>
    <row r="13" spans="1:28">
      <c r="A13" t="s">
        <v>156</v>
      </c>
      <c r="B13" s="140" t="s">
        <v>151</v>
      </c>
      <c r="C13" s="86"/>
      <c r="D13" s="86"/>
      <c r="E13" s="134"/>
      <c r="F13" s="134"/>
      <c r="G13" s="347">
        <f>+G8+G9+G10+G11+G12</f>
        <v>15552.374</v>
      </c>
      <c r="H13" s="347">
        <f t="shared" ref="H13:AA13" si="0">+H8+H9+H10+H11+H12</f>
        <v>4770.0169999999989</v>
      </c>
      <c r="I13" s="347">
        <f t="shared" si="0"/>
        <v>3385.7291200000009</v>
      </c>
      <c r="J13" s="347">
        <f t="shared" si="0"/>
        <v>9156.3056447999988</v>
      </c>
      <c r="K13" s="347">
        <f t="shared" si="0"/>
        <v>8377.729103231999</v>
      </c>
      <c r="L13" s="347">
        <f t="shared" si="0"/>
        <v>13238.971850209276</v>
      </c>
      <c r="M13" s="347">
        <f t="shared" si="0"/>
        <v>19020.328768377658</v>
      </c>
      <c r="N13" s="347">
        <f t="shared" si="0"/>
        <v>20323.864507162165</v>
      </c>
      <c r="O13" s="347">
        <f t="shared" si="0"/>
        <v>21719.31238675032</v>
      </c>
      <c r="P13" s="347">
        <f t="shared" si="0"/>
        <v>23213.263290494833</v>
      </c>
      <c r="Q13" s="347">
        <f t="shared" si="0"/>
        <v>24812.785304147474</v>
      </c>
      <c r="R13" s="347">
        <f t="shared" si="0"/>
        <v>27035.381292288512</v>
      </c>
      <c r="S13" s="347">
        <f t="shared" si="0"/>
        <v>37828.019039185856</v>
      </c>
      <c r="T13" s="347">
        <f t="shared" si="0"/>
        <v>29753.030924313367</v>
      </c>
      <c r="U13" s="347">
        <f t="shared" si="0"/>
        <v>31814.538666380467</v>
      </c>
      <c r="V13" s="347">
        <f t="shared" si="0"/>
        <v>34022.361921223623</v>
      </c>
      <c r="W13" s="347">
        <f t="shared" si="0"/>
        <v>36387.032618636484</v>
      </c>
      <c r="X13" s="347">
        <f t="shared" si="0"/>
        <v>39682.67088469764</v>
      </c>
      <c r="Y13" s="347">
        <f t="shared" si="0"/>
        <v>40837.978208753433</v>
      </c>
      <c r="Z13" s="347">
        <f t="shared" si="0"/>
        <v>43686.053744060519</v>
      </c>
      <c r="AA13" s="347">
        <f t="shared" si="0"/>
        <v>46737.054994281702</v>
      </c>
      <c r="AB13" s="2"/>
    </row>
    <row r="14" spans="1:28">
      <c r="A14" t="s">
        <v>157</v>
      </c>
      <c r="B14" s="141" t="s">
        <v>154</v>
      </c>
      <c r="C14" s="84"/>
      <c r="D14" s="84"/>
      <c r="E14" s="135"/>
      <c r="F14" s="135"/>
      <c r="G14" s="348">
        <f>+G13+F14</f>
        <v>15552.374</v>
      </c>
      <c r="H14" s="348">
        <f t="shared" ref="H14:AA14" si="1">+H13+G14</f>
        <v>20322.391</v>
      </c>
      <c r="I14" s="348">
        <f t="shared" si="1"/>
        <v>23708.12012</v>
      </c>
      <c r="J14" s="348">
        <f t="shared" si="1"/>
        <v>32864.425764799998</v>
      </c>
      <c r="K14" s="348">
        <f t="shared" si="1"/>
        <v>41242.154868031997</v>
      </c>
      <c r="L14" s="348">
        <f t="shared" si="1"/>
        <v>54481.12671824127</v>
      </c>
      <c r="M14" s="348">
        <f t="shared" si="1"/>
        <v>73501.455486618928</v>
      </c>
      <c r="N14" s="348">
        <f t="shared" si="1"/>
        <v>93825.3199937811</v>
      </c>
      <c r="O14" s="348">
        <f t="shared" si="1"/>
        <v>115544.63238053142</v>
      </c>
      <c r="P14" s="348">
        <f t="shared" si="1"/>
        <v>138757.89567102626</v>
      </c>
      <c r="Q14" s="348">
        <f t="shared" si="1"/>
        <v>163570.68097517372</v>
      </c>
      <c r="R14" s="348">
        <f t="shared" si="1"/>
        <v>190606.06226746223</v>
      </c>
      <c r="S14" s="348">
        <f t="shared" si="1"/>
        <v>228434.08130664809</v>
      </c>
      <c r="T14" s="348">
        <f t="shared" si="1"/>
        <v>258187.11223096144</v>
      </c>
      <c r="U14" s="348">
        <f t="shared" si="1"/>
        <v>290001.6508973419</v>
      </c>
      <c r="V14" s="348">
        <f t="shared" si="1"/>
        <v>324024.01281856553</v>
      </c>
      <c r="W14" s="348">
        <f t="shared" si="1"/>
        <v>360411.04543720203</v>
      </c>
      <c r="X14" s="348">
        <f t="shared" si="1"/>
        <v>400093.71632189967</v>
      </c>
      <c r="Y14" s="348">
        <f t="shared" si="1"/>
        <v>440931.69453065313</v>
      </c>
      <c r="Z14" s="348">
        <f t="shared" si="1"/>
        <v>484617.74827471364</v>
      </c>
      <c r="AA14" s="348">
        <f t="shared" si="1"/>
        <v>531354.80326899537</v>
      </c>
      <c r="AB14" s="2"/>
    </row>
    <row r="15" spans="1:28" ht="6" customHeight="1">
      <c r="B15" s="139"/>
      <c r="E15" s="2"/>
      <c r="F15" s="2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2"/>
    </row>
    <row r="16" spans="1:28">
      <c r="B16" s="142" t="s">
        <v>42</v>
      </c>
      <c r="C16" s="169"/>
      <c r="D16" s="1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2"/>
    </row>
    <row r="17" spans="1:28">
      <c r="B17" s="139" t="s">
        <v>258</v>
      </c>
      <c r="C17" s="169"/>
      <c r="D17" s="169"/>
      <c r="E17" s="64"/>
      <c r="F17" s="64"/>
      <c r="G17" s="64">
        <f>+'Proyectos Inmob detall'!G442+'Proyectos Inmob detall'!G457+'Proyectos Inmob detall'!G478+'Proyectos Inmob detall'!G499+'Proyectos Inmob detall'!G514-PyG!L119-PyG!L120-PyG!L121+'Proyectos Inmob detall'!G573+'Proyectos Inmob detall'!G577+'Proyectos Inmob detall'!G582+'Proyectos Inmob detall'!G587+'Proyectos Inmob detall'!G591</f>
        <v>-1375</v>
      </c>
      <c r="H17" s="64">
        <f>+'Proyectos Inmob detall'!H442+'Proyectos Inmob detall'!H457+'Proyectos Inmob detall'!H478+'Proyectos Inmob detall'!H499+'Proyectos Inmob detall'!H514-PyG!M119-PyG!M120-PyG!M121+'Proyectos Inmob detall'!H573+'Proyectos Inmob detall'!H577+'Proyectos Inmob detall'!H582+'Proyectos Inmob detall'!H587+'Proyectos Inmob detall'!H591</f>
        <v>1747.0416528711085</v>
      </c>
      <c r="I17" s="64">
        <f>+'Proyectos Inmob detall'!I442+'Proyectos Inmob detall'!I457+'Proyectos Inmob detall'!I478+'Proyectos Inmob detall'!I499+'Proyectos Inmob detall'!I514-PyG!N119-PyG!N120-PyG!N121+'Proyectos Inmob detall'!I573+'Proyectos Inmob detall'!I577+'Proyectos Inmob detall'!I582+'Proyectos Inmob detall'!I587+'Proyectos Inmob detall'!I591</f>
        <v>4877.2304821907228</v>
      </c>
      <c r="J17" s="64">
        <f>+'Proyectos Inmob detall'!J442+'Proyectos Inmob detall'!J457+'Proyectos Inmob detall'!J478+'Proyectos Inmob detall'!J499+'Proyectos Inmob detall'!J514-PyG!O119-PyG!O120-PyG!O121+'Proyectos Inmob detall'!J573+'Proyectos Inmob detall'!J577+'Proyectos Inmob detall'!J582+'Proyectos Inmob detall'!J587+'Proyectos Inmob detall'!J591</f>
        <v>8353.3460447268117</v>
      </c>
      <c r="K17" s="64">
        <f>+'Proyectos Inmob detall'!K442+'Proyectos Inmob detall'!K457+'Proyectos Inmob detall'!K478+'Proyectos Inmob detall'!K499+'Proyectos Inmob detall'!K514-PyG!P119-PyG!P120-PyG!P121+'Proyectos Inmob detall'!K573+'Proyectos Inmob detall'!K577+'Proyectos Inmob detall'!K582+'Proyectos Inmob detall'!K587+'Proyectos Inmob detall'!K591</f>
        <v>6159.4405199121993</v>
      </c>
      <c r="L17" s="64">
        <f>+'Proyectos Inmob detall'!L442+'Proyectos Inmob detall'!L457+'Proyectos Inmob detall'!L478+'Proyectos Inmob detall'!L499+'Proyectos Inmob detall'!L514-PyG!Q119-PyG!Q120-PyG!Q121+'Proyectos Inmob detall'!L573+'Proyectos Inmob detall'!L577+'Proyectos Inmob detall'!L582+'Proyectos Inmob detall'!L587+'Proyectos Inmob detall'!L591</f>
        <v>9307.814115022089</v>
      </c>
      <c r="M17" s="64">
        <f>+'Proyectos Inmob detall'!M442+'Proyectos Inmob detall'!M457+'Proyectos Inmob detall'!M478+'Proyectos Inmob detall'!M499+'Proyectos Inmob detall'!M514-PyG!R119-PyG!R120-PyG!R121+'Proyectos Inmob detall'!M573+'Proyectos Inmob detall'!M577+'Proyectos Inmob detall'!M582+'Proyectos Inmob detall'!M587+'Proyectos Inmob detall'!M591</f>
        <v>18477.995529145679</v>
      </c>
      <c r="N17" s="64">
        <f>+'Proyectos Inmob detall'!N442+'Proyectos Inmob detall'!N457+'Proyectos Inmob detall'!N478+'Proyectos Inmob detall'!N499+'Proyectos Inmob detall'!N514-PyG!S119-PyG!S120-PyG!S121+'Proyectos Inmob detall'!N573+'Proyectos Inmob detall'!N577+'Proyectos Inmob detall'!N582+'Proyectos Inmob detall'!N587+'Proyectos Inmob detall'!N591</f>
        <v>22460.501550910474</v>
      </c>
      <c r="O17" s="64">
        <f>+'Proyectos Inmob detall'!O442+'Proyectos Inmob detall'!O457+'Proyectos Inmob detall'!O478+'Proyectos Inmob detall'!O499+'Proyectos Inmob detall'!O514-PyG!T119-PyG!T120-PyG!T121+'Proyectos Inmob detall'!O573+'Proyectos Inmob detall'!O577+'Proyectos Inmob detall'!O582+'Proyectos Inmob detall'!O587+'Proyectos Inmob detall'!O591</f>
        <v>27316.224897657648</v>
      </c>
      <c r="P17" s="64">
        <f>+'Proyectos Inmob detall'!P442+'Proyectos Inmob detall'!P457+'Proyectos Inmob detall'!P478+'Proyectos Inmob detall'!P499+'Proyectos Inmob detall'!P514-PyG!U119-PyG!U120-PyG!U121+'Proyectos Inmob detall'!P573+'Proyectos Inmob detall'!P577+'Proyectos Inmob detall'!P582+'Proyectos Inmob detall'!P587+'Proyectos Inmob detall'!P591</f>
        <v>31046.397759395637</v>
      </c>
      <c r="Q17" s="64">
        <f>+'Proyectos Inmob detall'!Q442+'Proyectos Inmob detall'!Q457+'Proyectos Inmob detall'!Q478+'Proyectos Inmob detall'!Q499+'Proyectos Inmob detall'!Q514-PyG!V119-PyG!V120-PyG!V121+'Proyectos Inmob detall'!Q573+'Proyectos Inmob detall'!Q577+'Proyectos Inmob detall'!Q582+'Proyectos Inmob detall'!Q587+'Proyectos Inmob detall'!Q591</f>
        <v>34256.565961455126</v>
      </c>
      <c r="R17" s="64">
        <f>+'Proyectos Inmob detall'!R442+'Proyectos Inmob detall'!R457+'Proyectos Inmob detall'!R478+'Proyectos Inmob detall'!R499+'Proyectos Inmob detall'!R514-PyG!W119-PyG!W120-PyG!W121+'Proyectos Inmob detall'!R573+'Proyectos Inmob detall'!R577+'Proyectos Inmob detall'!R582+'Proyectos Inmob detall'!R587+'Proyectos Inmob detall'!R591</f>
        <v>37559.320941774728</v>
      </c>
      <c r="S17" s="64">
        <f>+'Proyectos Inmob detall'!S442+'Proyectos Inmob detall'!S457+'Proyectos Inmob detall'!S478+'Proyectos Inmob detall'!S499+'Proyectos Inmob detall'!S514-PyG!X119-PyG!X120-PyG!X121+'Proyectos Inmob detall'!S573+'Proyectos Inmob detall'!S577+'Proyectos Inmob detall'!S582+'Proyectos Inmob detall'!S587+'Proyectos Inmob detall'!S591+10000</f>
        <v>53535.516190492206</v>
      </c>
      <c r="T17" s="64">
        <f>+'Proyectos Inmob detall'!T442+'Proyectos Inmob detall'!T457+'Proyectos Inmob detall'!T478+'Proyectos Inmob detall'!T499+'Proyectos Inmob detall'!T514-PyG!Y119-PyG!Y120-PyG!Y121+'Proyectos Inmob detall'!T573+'Proyectos Inmob detall'!T577+'Proyectos Inmob detall'!T582+'Proyectos Inmob detall'!T587+'Proyectos Inmob detall'!T591</f>
        <v>45772.173186559507</v>
      </c>
      <c r="U17" s="64">
        <f>+'Proyectos Inmob detall'!U442+'Proyectos Inmob detall'!U457+'Proyectos Inmob detall'!U478+'Proyectos Inmob detall'!U499+'Proyectos Inmob detall'!U514-PyG!Z119-PyG!Z120-PyG!Z121+'Proyectos Inmob detall'!U573+'Proyectos Inmob detall'!U577+'Proyectos Inmob detall'!U582+'Proyectos Inmob detall'!U587+'Proyectos Inmob detall'!U591</f>
        <v>41501.723287250359</v>
      </c>
      <c r="V17" s="64">
        <f>+'Proyectos Inmob detall'!V442+'Proyectos Inmob detall'!V457+'Proyectos Inmob detall'!V478+'Proyectos Inmob detall'!V499+'Proyectos Inmob detall'!V514-PyG!AA119-PyG!AA120-PyG!AA121+'Proyectos Inmob detall'!V573+'Proyectos Inmob detall'!V577+'Proyectos Inmob detall'!V582+'Proyectos Inmob detall'!V587+'Proyectos Inmob detall'!V591</f>
        <v>42691.664272973314</v>
      </c>
      <c r="W17" s="64">
        <f>+'Proyectos Inmob detall'!W442+'Proyectos Inmob detall'!W457+'Proyectos Inmob detall'!W478+'Proyectos Inmob detall'!W499+'Proyectos Inmob detall'!W514-PyG!AB119-PyG!AB120-PyG!AB121+'Proyectos Inmob detall'!W573+'Proyectos Inmob detall'!W577+'Proyectos Inmob detall'!W582+'Proyectos Inmob detall'!W587+'Proyectos Inmob detall'!W591</f>
        <v>44783.396122123304</v>
      </c>
      <c r="X17" s="64">
        <f>+'Proyectos Inmob detall'!X442+'Proyectos Inmob detall'!X457+'Proyectos Inmob detall'!X478+'Proyectos Inmob detall'!X499+'Proyectos Inmob detall'!X514-PyG!AC119-PyG!AC120-PyG!AC121+'Proyectos Inmob detall'!X573+'Proyectos Inmob detall'!X577+'Proyectos Inmob detall'!X582+'Proyectos Inmob detall'!X587+'Proyectos Inmob detall'!X591</f>
        <v>37545.374119942222</v>
      </c>
      <c r="Y17" s="64">
        <f>+'Proyectos Inmob detall'!Y442+'Proyectos Inmob detall'!Y457+'Proyectos Inmob detall'!Y478+'Proyectos Inmob detall'!Y499+'Proyectos Inmob detall'!Y514-PyG!AD119-PyG!AD120-PyG!AD121+'Proyectos Inmob detall'!Y573+'Proyectos Inmob detall'!Y577+'Proyectos Inmob detall'!Y582+'Proyectos Inmob detall'!Y587+'Proyectos Inmob detall'!Y591</f>
        <v>52423.492870595583</v>
      </c>
      <c r="Z17" s="64">
        <f>+'Proyectos Inmob detall'!Z442+'Proyectos Inmob detall'!Z457+'Proyectos Inmob detall'!Z478+'Proyectos Inmob detall'!Z499+'Proyectos Inmob detall'!Z514-PyG!AE119-PyG!AE120-PyG!AE121+'Proyectos Inmob detall'!Z573+'Proyectos Inmob detall'!Z577+'Proyectos Inmob detall'!Z582+'Proyectos Inmob detall'!Z587+'Proyectos Inmob detall'!Z591</f>
        <v>57691.605542719408</v>
      </c>
      <c r="AA17" s="64">
        <f>+'Proyectos Inmob detall'!AA442+'Proyectos Inmob detall'!AA457+'Proyectos Inmob detall'!AA478+'Proyectos Inmob detall'!AA499+'Proyectos Inmob detall'!AA514-PyG!AF119-PyG!AF120-PyG!AF121+'Proyectos Inmob detall'!AA573+'Proyectos Inmob detall'!AA577+'Proyectos Inmob detall'!AA582+'Proyectos Inmob detall'!AA587+'Proyectos Inmob detall'!AA591</f>
        <v>52478.316053179769</v>
      </c>
      <c r="AB17" s="2"/>
    </row>
    <row r="18" spans="1:28">
      <c r="B18" s="139" t="s">
        <v>68</v>
      </c>
      <c r="C18" s="169"/>
      <c r="D18" s="1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2"/>
    </row>
    <row r="19" spans="1:28">
      <c r="A19" t="s">
        <v>158</v>
      </c>
      <c r="B19" s="140" t="s">
        <v>152</v>
      </c>
      <c r="C19" s="350"/>
      <c r="D19" s="350"/>
      <c r="E19" s="347"/>
      <c r="F19" s="347"/>
      <c r="G19" s="347">
        <f t="shared" ref="G19:AA19" si="2">+G17+G18</f>
        <v>-1375</v>
      </c>
      <c r="H19" s="347">
        <f t="shared" si="2"/>
        <v>1747.0416528711085</v>
      </c>
      <c r="I19" s="347">
        <f t="shared" si="2"/>
        <v>4877.2304821907228</v>
      </c>
      <c r="J19" s="347">
        <f t="shared" si="2"/>
        <v>8353.3460447268117</v>
      </c>
      <c r="K19" s="347">
        <f t="shared" si="2"/>
        <v>6159.4405199121993</v>
      </c>
      <c r="L19" s="347">
        <f t="shared" si="2"/>
        <v>9307.814115022089</v>
      </c>
      <c r="M19" s="347">
        <f t="shared" si="2"/>
        <v>18477.995529145679</v>
      </c>
      <c r="N19" s="347">
        <f t="shared" si="2"/>
        <v>22460.501550910474</v>
      </c>
      <c r="O19" s="347">
        <f t="shared" si="2"/>
        <v>27316.224897657648</v>
      </c>
      <c r="P19" s="347">
        <f t="shared" si="2"/>
        <v>31046.397759395637</v>
      </c>
      <c r="Q19" s="347">
        <f t="shared" si="2"/>
        <v>34256.565961455126</v>
      </c>
      <c r="R19" s="347">
        <f t="shared" si="2"/>
        <v>37559.320941774728</v>
      </c>
      <c r="S19" s="347">
        <f t="shared" si="2"/>
        <v>53535.516190492206</v>
      </c>
      <c r="T19" s="347">
        <f t="shared" si="2"/>
        <v>45772.173186559507</v>
      </c>
      <c r="U19" s="347">
        <f t="shared" si="2"/>
        <v>41501.723287250359</v>
      </c>
      <c r="V19" s="347">
        <f t="shared" si="2"/>
        <v>42691.664272973314</v>
      </c>
      <c r="W19" s="347">
        <f t="shared" si="2"/>
        <v>44783.396122123304</v>
      </c>
      <c r="X19" s="347">
        <f t="shared" si="2"/>
        <v>37545.374119942222</v>
      </c>
      <c r="Y19" s="347">
        <f t="shared" si="2"/>
        <v>52423.492870595583</v>
      </c>
      <c r="Z19" s="347">
        <f t="shared" si="2"/>
        <v>57691.605542719408</v>
      </c>
      <c r="AA19" s="347">
        <f t="shared" si="2"/>
        <v>52478.316053179769</v>
      </c>
      <c r="AB19" s="2"/>
    </row>
    <row r="20" spans="1:28">
      <c r="A20" t="s">
        <v>159</v>
      </c>
      <c r="B20" s="141" t="s">
        <v>155</v>
      </c>
      <c r="C20" s="351"/>
      <c r="D20" s="351"/>
      <c r="E20" s="348"/>
      <c r="F20" s="348"/>
      <c r="G20" s="348">
        <f>+F20+G19</f>
        <v>-1375</v>
      </c>
      <c r="H20" s="348">
        <f t="shared" ref="H20:AA20" si="3">+G20+H19</f>
        <v>372.04165287110845</v>
      </c>
      <c r="I20" s="348">
        <f t="shared" si="3"/>
        <v>5249.2721350618312</v>
      </c>
      <c r="J20" s="348">
        <f t="shared" si="3"/>
        <v>13602.618179788642</v>
      </c>
      <c r="K20" s="348">
        <f t="shared" si="3"/>
        <v>19762.058699700843</v>
      </c>
      <c r="L20" s="348">
        <f t="shared" si="3"/>
        <v>29069.872814722934</v>
      </c>
      <c r="M20" s="348">
        <f t="shared" si="3"/>
        <v>47547.868343868613</v>
      </c>
      <c r="N20" s="348">
        <f t="shared" si="3"/>
        <v>70008.369894779084</v>
      </c>
      <c r="O20" s="348">
        <f t="shared" si="3"/>
        <v>97324.594792436736</v>
      </c>
      <c r="P20" s="348">
        <f t="shared" si="3"/>
        <v>128370.99255183237</v>
      </c>
      <c r="Q20" s="348">
        <f t="shared" si="3"/>
        <v>162627.55851328751</v>
      </c>
      <c r="R20" s="348">
        <f t="shared" si="3"/>
        <v>200186.87945506224</v>
      </c>
      <c r="S20" s="348">
        <f t="shared" si="3"/>
        <v>253722.39564555444</v>
      </c>
      <c r="T20" s="348">
        <f t="shared" si="3"/>
        <v>299494.56883211393</v>
      </c>
      <c r="U20" s="348">
        <f t="shared" si="3"/>
        <v>340996.29211936431</v>
      </c>
      <c r="V20" s="348">
        <f t="shared" si="3"/>
        <v>383687.95639233763</v>
      </c>
      <c r="W20" s="348">
        <f t="shared" si="3"/>
        <v>428471.35251446092</v>
      </c>
      <c r="X20" s="348">
        <f t="shared" si="3"/>
        <v>466016.72663440311</v>
      </c>
      <c r="Y20" s="348">
        <f t="shared" si="3"/>
        <v>518440.21950499871</v>
      </c>
      <c r="Z20" s="348">
        <f t="shared" si="3"/>
        <v>576131.82504771813</v>
      </c>
      <c r="AA20" s="348">
        <f t="shared" si="3"/>
        <v>628610.14110089792</v>
      </c>
      <c r="AB20" s="2"/>
    </row>
    <row r="21" spans="1:28" ht="5" customHeight="1">
      <c r="B21" s="139"/>
      <c r="C21" s="169"/>
      <c r="D21" s="1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2"/>
    </row>
    <row r="22" spans="1:28">
      <c r="A22" t="s">
        <v>259</v>
      </c>
      <c r="B22" s="143" t="s">
        <v>260</v>
      </c>
      <c r="C22" s="350"/>
      <c r="D22" s="350"/>
      <c r="E22" s="347"/>
      <c r="F22" s="347"/>
      <c r="G22" s="347">
        <f t="shared" ref="G22:AA22" si="4">+G19+G13</f>
        <v>14177.374</v>
      </c>
      <c r="H22" s="347">
        <f t="shared" si="4"/>
        <v>6517.0586528711074</v>
      </c>
      <c r="I22" s="347">
        <f t="shared" si="4"/>
        <v>8262.9596021907237</v>
      </c>
      <c r="J22" s="347">
        <f t="shared" si="4"/>
        <v>17509.651689526811</v>
      </c>
      <c r="K22" s="347">
        <f t="shared" si="4"/>
        <v>14537.169623144198</v>
      </c>
      <c r="L22" s="347">
        <f t="shared" si="4"/>
        <v>22546.785965231364</v>
      </c>
      <c r="M22" s="347">
        <f t="shared" si="4"/>
        <v>37498.324297523337</v>
      </c>
      <c r="N22" s="347">
        <f t="shared" si="4"/>
        <v>42784.366058072643</v>
      </c>
      <c r="O22" s="347">
        <f t="shared" si="4"/>
        <v>49035.537284407968</v>
      </c>
      <c r="P22" s="347">
        <f t="shared" si="4"/>
        <v>54259.66104989047</v>
      </c>
      <c r="Q22" s="347">
        <f t="shared" si="4"/>
        <v>59069.3512656026</v>
      </c>
      <c r="R22" s="347">
        <f t="shared" si="4"/>
        <v>64594.702234063239</v>
      </c>
      <c r="S22" s="347">
        <f t="shared" si="4"/>
        <v>91363.535229678062</v>
      </c>
      <c r="T22" s="347">
        <f t="shared" si="4"/>
        <v>75525.204110872874</v>
      </c>
      <c r="U22" s="347">
        <f t="shared" si="4"/>
        <v>73316.261953630834</v>
      </c>
      <c r="V22" s="347">
        <f t="shared" si="4"/>
        <v>76714.026194196937</v>
      </c>
      <c r="W22" s="347">
        <f t="shared" si="4"/>
        <v>81170.428740759788</v>
      </c>
      <c r="X22" s="347">
        <f t="shared" si="4"/>
        <v>77228.045004639862</v>
      </c>
      <c r="Y22" s="347">
        <f t="shared" si="4"/>
        <v>93261.471079349023</v>
      </c>
      <c r="Z22" s="347">
        <f t="shared" si="4"/>
        <v>101377.65928677993</v>
      </c>
      <c r="AA22" s="347">
        <f t="shared" si="4"/>
        <v>99215.371047461464</v>
      </c>
      <c r="AB22" s="2"/>
    </row>
    <row r="23" spans="1:28">
      <c r="A23" t="s">
        <v>262</v>
      </c>
      <c r="B23" s="144" t="s">
        <v>261</v>
      </c>
      <c r="C23" s="351"/>
      <c r="D23" s="351"/>
      <c r="E23" s="348"/>
      <c r="F23" s="348"/>
      <c r="G23" s="348">
        <f>+F23+G22</f>
        <v>14177.374</v>
      </c>
      <c r="H23" s="348">
        <f t="shared" ref="H23:AA23" si="5">+G23+H22</f>
        <v>20694.432652871106</v>
      </c>
      <c r="I23" s="348">
        <f t="shared" si="5"/>
        <v>28957.39225506183</v>
      </c>
      <c r="J23" s="348">
        <f t="shared" si="5"/>
        <v>46467.043944588644</v>
      </c>
      <c r="K23" s="348">
        <f t="shared" si="5"/>
        <v>61004.213567732841</v>
      </c>
      <c r="L23" s="348">
        <f t="shared" si="5"/>
        <v>83550.999532964197</v>
      </c>
      <c r="M23" s="348">
        <f t="shared" si="5"/>
        <v>121049.32383048753</v>
      </c>
      <c r="N23" s="348">
        <f t="shared" si="5"/>
        <v>163833.68988856015</v>
      </c>
      <c r="O23" s="348">
        <f t="shared" si="5"/>
        <v>212869.22717296812</v>
      </c>
      <c r="P23" s="348">
        <f t="shared" si="5"/>
        <v>267128.8882228586</v>
      </c>
      <c r="Q23" s="348">
        <f t="shared" si="5"/>
        <v>326198.23948846117</v>
      </c>
      <c r="R23" s="348">
        <f t="shared" si="5"/>
        <v>390792.94172252441</v>
      </c>
      <c r="S23" s="348">
        <f t="shared" si="5"/>
        <v>482156.4769522025</v>
      </c>
      <c r="T23" s="348">
        <f t="shared" si="5"/>
        <v>557681.68106307532</v>
      </c>
      <c r="U23" s="348">
        <f t="shared" si="5"/>
        <v>630997.94301670615</v>
      </c>
      <c r="V23" s="348">
        <f t="shared" si="5"/>
        <v>707711.96921090304</v>
      </c>
      <c r="W23" s="348">
        <f t="shared" si="5"/>
        <v>788882.39795166277</v>
      </c>
      <c r="X23" s="348">
        <f t="shared" si="5"/>
        <v>866110.44295630266</v>
      </c>
      <c r="Y23" s="348">
        <f t="shared" si="5"/>
        <v>959371.91403565172</v>
      </c>
      <c r="Z23" s="348">
        <f t="shared" si="5"/>
        <v>1060749.5733224317</v>
      </c>
      <c r="AA23" s="348">
        <f t="shared" si="5"/>
        <v>1159964.9443698931</v>
      </c>
      <c r="AB23" s="2"/>
    </row>
    <row r="24" spans="1:28" ht="5" customHeight="1">
      <c r="B24" s="139"/>
      <c r="C24" s="169"/>
      <c r="D24" s="1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2"/>
    </row>
    <row r="25" spans="1:28">
      <c r="A25">
        <v>3</v>
      </c>
      <c r="B25" s="140" t="s">
        <v>315</v>
      </c>
      <c r="C25" s="350"/>
      <c r="D25" s="350"/>
      <c r="E25" s="347"/>
      <c r="F25" s="347"/>
      <c r="G25" s="347">
        <f>-(PyG!L125+PyG!K158)-PyG!L122</f>
        <v>-16305.722420814438</v>
      </c>
      <c r="H25" s="347">
        <f>-(PyG!M125+PyG!L158)-PyG!M122</f>
        <v>-16263.453388247181</v>
      </c>
      <c r="I25" s="347">
        <f>-(PyG!N125+PyG!M158)-PyG!N122</f>
        <v>-16732.105990389471</v>
      </c>
      <c r="J25" s="347">
        <f>-(PyG!O125+PyG!N158)-PyG!O122</f>
        <v>-17402.425874935074</v>
      </c>
      <c r="K25" s="347">
        <f>-(PyG!P125+PyG!O158)-PyG!P122</f>
        <v>-17886.309915647089</v>
      </c>
      <c r="L25" s="347">
        <f>-(PyG!Q125+PyG!P158)-PyG!Q122</f>
        <v>-18685.633479365461</v>
      </c>
      <c r="M25" s="347">
        <f>-(PyG!R125+PyG!Q158)-PyG!R122</f>
        <v>-19924.901939407097</v>
      </c>
      <c r="N25" s="347">
        <f>-(PyG!S125+PyG!R158)-PyG!S122</f>
        <v>-22584.634438325698</v>
      </c>
      <c r="O25" s="347">
        <f>-(PyG!T125+PyG!S158)-PyG!T122</f>
        <v>-30338.550070453395</v>
      </c>
      <c r="P25" s="347">
        <f>-(PyG!U125+PyG!T158)-PyG!U122</f>
        <v>-33732.273220507675</v>
      </c>
      <c r="Q25" s="347">
        <f>-(PyG!V125+PyG!U158)-PyG!V122</f>
        <v>-36586.525997174627</v>
      </c>
      <c r="R25" s="347">
        <f>-(PyG!W125+PyG!V158)-PyG!W122</f>
        <v>-39405.939377778472</v>
      </c>
      <c r="S25" s="347">
        <f>-(PyG!X125+PyG!W158)-PyG!X122</f>
        <v>-42270.68251428759</v>
      </c>
      <c r="T25" s="347">
        <f>-(PyG!Y125+PyG!X158)-PyG!Y122</f>
        <v>-44693.368976764141</v>
      </c>
      <c r="U25" s="347">
        <f>-(PyG!Z125+PyG!Y158)-PyG!Z122</f>
        <v>-46038.279130145464</v>
      </c>
      <c r="V25" s="347">
        <f>-(PyG!AA125+PyG!Z158)-PyG!AA122</f>
        <v>-48391.095808670922</v>
      </c>
      <c r="W25" s="347">
        <f>-(PyG!AB125+PyG!AA158)-PyG!AB122</f>
        <v>-51084.010830748557</v>
      </c>
      <c r="X25" s="347">
        <f>-(PyG!AC125+PyG!AB158)-PyG!AC122</f>
        <v>-53846.385376436912</v>
      </c>
      <c r="Y25" s="347">
        <f>-(PyG!AD125+PyG!AC158)-PyG!AD122</f>
        <v>-56161.444108473661</v>
      </c>
      <c r="Z25" s="347">
        <f>-(PyG!AE125+PyG!AD158)-PyG!AE122</f>
        <v>-60865.125424335463</v>
      </c>
      <c r="AA25" s="347">
        <f>-(PyG!AF125+PyG!AE158)-PyG!AF122</f>
        <v>-60914.192365461975</v>
      </c>
      <c r="AB25" s="2"/>
    </row>
    <row r="26" spans="1:28">
      <c r="B26" s="141" t="s">
        <v>343</v>
      </c>
      <c r="C26" s="352"/>
      <c r="D26" s="351"/>
      <c r="E26" s="348"/>
      <c r="F26" s="348"/>
      <c r="G26" s="348"/>
      <c r="H26" s="348">
        <f>-PyG!M5*Proyecciones!H12/360-SUM('Flujo Caja'!$G$26:G26)</f>
        <v>0</v>
      </c>
      <c r="I26" s="348">
        <f>-PyG!N5*Proyecciones!I12/360-SUM('Flujo Caja'!$G$26:H26)</f>
        <v>-574.39072498924565</v>
      </c>
      <c r="J26" s="348">
        <f>-PyG!O5*Proyecciones!J12/360-SUM('Flujo Caja'!$G$26:I26)</f>
        <v>-1014.6971171233251</v>
      </c>
      <c r="K26" s="348">
        <f>-PyG!P5*Proyecciones!K12/360-SUM('Flujo Caja'!$G$26:J26)</f>
        <v>-1247.4308702469552</v>
      </c>
      <c r="L26" s="348">
        <f>-PyG!Q5*Proyecciones!L12/360-SUM('Flujo Caja'!$G$26:K26)</f>
        <v>-2016.1082350024408</v>
      </c>
      <c r="M26" s="348">
        <f>-PyG!R5*Proyecciones!M12/360-SUM('Flujo Caja'!$G$26:L26)</f>
        <v>-2081.2362656309151</v>
      </c>
      <c r="N26" s="348">
        <f>-PyG!S5*Proyecciones!N12/360-SUM('Flujo Caja'!$G$26:M26)</f>
        <v>-2151.3571909917218</v>
      </c>
      <c r="O26" s="348">
        <f>-PyG!T5*Proyecciones!O12/360-SUM('Flujo Caja'!$G$26:N26)</f>
        <v>-2658.4433618751264</v>
      </c>
      <c r="P26" s="348">
        <f>-PyG!U5*Proyecciones!P12/360-SUM('Flujo Caja'!$G$26:O26)</f>
        <v>-2783.5846452152164</v>
      </c>
      <c r="Q26" s="348">
        <f>-PyG!V5*Proyecciones!Q12/360-SUM('Flujo Caja'!$G$26:P26)</f>
        <v>-3125.3524372385036</v>
      </c>
      <c r="R26" s="348">
        <f>-PyG!W5*Proyecciones!R12/360-SUM('Flujo Caja'!$G$26:Q26)</f>
        <v>-3202.896990013247</v>
      </c>
      <c r="S26" s="348">
        <f>-PyG!X5*Proyecciones!S12/360-SUM('Flujo Caja'!$G$26:R26)</f>
        <v>-1174.0797902287413</v>
      </c>
      <c r="T26" s="348">
        <f>-PyG!Y5*Proyecciones!T12/360-SUM('Flujo Caja'!$G$26:S26)</f>
        <v>-572.72053873833647</v>
      </c>
      <c r="U26" s="348">
        <f>-PyG!Z5*Proyecciones!U12/360-SUM('Flujo Caja'!$G$26:T26)</f>
        <v>-1365.8442991125012</v>
      </c>
      <c r="V26" s="348">
        <f>-PyG!AA5*Proyecciones!V12/360-SUM('Flujo Caja'!$G$26:U26)</f>
        <v>-1555.9508080935375</v>
      </c>
      <c r="W26" s="348">
        <f>-PyG!AB5*Proyecciones!W12/360-SUM('Flujo Caja'!$G$26:V26)</f>
        <v>-1721.6727345557083</v>
      </c>
      <c r="X26" s="348">
        <f>-PyG!AC5*Proyecciones!X12/360-SUM('Flujo Caja'!$G$26:W26)</f>
        <v>-1002.8980160669453</v>
      </c>
      <c r="Y26" s="348">
        <f>-PyG!AD5*Proyecciones!Y12/360-SUM('Flujo Caja'!$G$26:X26)</f>
        <v>-2721.3897497917314</v>
      </c>
      <c r="Z26" s="348">
        <f>-PyG!AE5*Proyecciones!Z12/360-SUM('Flujo Caja'!$G$26:Y26)</f>
        <v>-951.5205077549108</v>
      </c>
      <c r="AA26" s="348">
        <f>-PyG!AF5*Proyecciones!AA12/360-SUM('Flujo Caja'!$G$26:Z26)</f>
        <v>-1971.6983839462227</v>
      </c>
      <c r="AB26" s="2"/>
    </row>
    <row r="27" spans="1:28">
      <c r="B27" s="139" t="s">
        <v>554</v>
      </c>
      <c r="C27" s="353"/>
      <c r="D27" s="148"/>
      <c r="E27" s="349"/>
      <c r="F27" s="349"/>
      <c r="G27" s="349"/>
      <c r="H27" s="349">
        <f>+H25+H26</f>
        <v>-16263.453388247181</v>
      </c>
      <c r="I27" s="349">
        <f t="shared" ref="I27:AA27" si="6">+I25+I26</f>
        <v>-17306.496715378718</v>
      </c>
      <c r="J27" s="349">
        <f t="shared" si="6"/>
        <v>-18417.122992058397</v>
      </c>
      <c r="K27" s="349">
        <f t="shared" si="6"/>
        <v>-19133.740785894042</v>
      </c>
      <c r="L27" s="349">
        <f t="shared" si="6"/>
        <v>-20701.741714367901</v>
      </c>
      <c r="M27" s="349">
        <f t="shared" si="6"/>
        <v>-22006.138205038013</v>
      </c>
      <c r="N27" s="349">
        <f t="shared" si="6"/>
        <v>-24735.991629317421</v>
      </c>
      <c r="O27" s="349">
        <f t="shared" si="6"/>
        <v>-32996.99343232852</v>
      </c>
      <c r="P27" s="349">
        <f t="shared" si="6"/>
        <v>-36515.857865722894</v>
      </c>
      <c r="Q27" s="349">
        <f t="shared" si="6"/>
        <v>-39711.878434413127</v>
      </c>
      <c r="R27" s="349">
        <f t="shared" si="6"/>
        <v>-42608.836367791722</v>
      </c>
      <c r="S27" s="349">
        <f t="shared" si="6"/>
        <v>-43444.762304516335</v>
      </c>
      <c r="T27" s="349">
        <f t="shared" si="6"/>
        <v>-45266.089515502477</v>
      </c>
      <c r="U27" s="349">
        <f t="shared" si="6"/>
        <v>-47404.123429257961</v>
      </c>
      <c r="V27" s="349">
        <f t="shared" si="6"/>
        <v>-49947.046616764463</v>
      </c>
      <c r="W27" s="349">
        <f t="shared" si="6"/>
        <v>-52805.683565304265</v>
      </c>
      <c r="X27" s="349">
        <f t="shared" si="6"/>
        <v>-54849.283392503858</v>
      </c>
      <c r="Y27" s="349">
        <f t="shared" si="6"/>
        <v>-58882.833858265396</v>
      </c>
      <c r="Z27" s="349">
        <f t="shared" si="6"/>
        <v>-61816.645932090374</v>
      </c>
      <c r="AA27" s="349">
        <f t="shared" si="6"/>
        <v>-62885.890749408194</v>
      </c>
      <c r="AB27" s="2"/>
    </row>
    <row r="28" spans="1:28">
      <c r="A28" t="s">
        <v>316</v>
      </c>
      <c r="B28" s="142" t="s">
        <v>266</v>
      </c>
      <c r="C28" s="148"/>
      <c r="D28" s="148"/>
      <c r="E28" s="349"/>
      <c r="F28" s="349"/>
      <c r="G28" s="349">
        <f>+G22+G25+G26</f>
        <v>-2128.3484208144382</v>
      </c>
      <c r="H28" s="349">
        <f t="shared" ref="H28:AA28" si="7">+H22+H25+H26</f>
        <v>-9746.3947353760741</v>
      </c>
      <c r="I28" s="349">
        <f t="shared" si="7"/>
        <v>-9043.5371131879929</v>
      </c>
      <c r="J28" s="349">
        <f t="shared" si="7"/>
        <v>-907.47130253158844</v>
      </c>
      <c r="K28" s="349">
        <f>+K22+K25+K26</f>
        <v>-4596.5711627498458</v>
      </c>
      <c r="L28" s="349">
        <f t="shared" si="7"/>
        <v>1845.0442508634624</v>
      </c>
      <c r="M28" s="349">
        <f t="shared" si="7"/>
        <v>15492.186092485324</v>
      </c>
      <c r="N28" s="349">
        <f t="shared" si="7"/>
        <v>18048.374428755222</v>
      </c>
      <c r="O28" s="349">
        <f t="shared" si="7"/>
        <v>16038.543852079447</v>
      </c>
      <c r="P28" s="349">
        <f t="shared" si="7"/>
        <v>17743.803184167577</v>
      </c>
      <c r="Q28" s="349">
        <f t="shared" si="7"/>
        <v>19357.472831189469</v>
      </c>
      <c r="R28" s="349">
        <f t="shared" si="7"/>
        <v>21985.865866271521</v>
      </c>
      <c r="S28" s="349">
        <f t="shared" si="7"/>
        <v>47918.772925161727</v>
      </c>
      <c r="T28" s="349">
        <f t="shared" si="7"/>
        <v>30259.114595370396</v>
      </c>
      <c r="U28" s="349">
        <f t="shared" si="7"/>
        <v>25912.138524372869</v>
      </c>
      <c r="V28" s="349">
        <f t="shared" si="7"/>
        <v>26766.979577432478</v>
      </c>
      <c r="W28" s="349">
        <f t="shared" si="7"/>
        <v>28364.745175455522</v>
      </c>
      <c r="X28" s="349">
        <f t="shared" si="7"/>
        <v>22378.761612136004</v>
      </c>
      <c r="Y28" s="349">
        <f t="shared" si="7"/>
        <v>34378.637221083627</v>
      </c>
      <c r="Z28" s="349">
        <f t="shared" si="7"/>
        <v>39561.013354689559</v>
      </c>
      <c r="AA28" s="349">
        <f t="shared" si="7"/>
        <v>36329.48029805327</v>
      </c>
      <c r="AB28" s="2"/>
    </row>
    <row r="29" spans="1:28">
      <c r="A29" t="s">
        <v>317</v>
      </c>
      <c r="B29" s="144" t="s">
        <v>267</v>
      </c>
      <c r="C29" s="351"/>
      <c r="D29" s="351"/>
      <c r="E29" s="348"/>
      <c r="F29" s="348"/>
      <c r="G29" s="348">
        <f>+F29+G28</f>
        <v>-2128.3484208144382</v>
      </c>
      <c r="H29" s="348">
        <f t="shared" ref="H29:AA29" si="8">+G29+H28</f>
        <v>-11874.743156190512</v>
      </c>
      <c r="I29" s="348">
        <f t="shared" si="8"/>
        <v>-20918.280269378505</v>
      </c>
      <c r="J29" s="348">
        <f t="shared" si="8"/>
        <v>-21825.751571910092</v>
      </c>
      <c r="K29" s="348">
        <f t="shared" si="8"/>
        <v>-26422.322734659938</v>
      </c>
      <c r="L29" s="348">
        <f t="shared" si="8"/>
        <v>-24577.278483796475</v>
      </c>
      <c r="M29" s="348">
        <f t="shared" si="8"/>
        <v>-9085.092391311151</v>
      </c>
      <c r="N29" s="348">
        <f t="shared" si="8"/>
        <v>8963.2820374440707</v>
      </c>
      <c r="O29" s="348">
        <f t="shared" si="8"/>
        <v>25001.825889523519</v>
      </c>
      <c r="P29" s="348">
        <f t="shared" si="8"/>
        <v>42745.629073691096</v>
      </c>
      <c r="Q29" s="348">
        <f t="shared" si="8"/>
        <v>62103.101904880561</v>
      </c>
      <c r="R29" s="348">
        <f t="shared" si="8"/>
        <v>84088.967771152078</v>
      </c>
      <c r="S29" s="348">
        <f t="shared" si="8"/>
        <v>132007.74069631379</v>
      </c>
      <c r="T29" s="348">
        <f t="shared" si="8"/>
        <v>162266.85529168419</v>
      </c>
      <c r="U29" s="348">
        <f t="shared" si="8"/>
        <v>188178.99381605705</v>
      </c>
      <c r="V29" s="348">
        <f t="shared" si="8"/>
        <v>214945.97339348952</v>
      </c>
      <c r="W29" s="348">
        <f t="shared" si="8"/>
        <v>243310.71856894504</v>
      </c>
      <c r="X29" s="348">
        <f t="shared" si="8"/>
        <v>265689.48018108105</v>
      </c>
      <c r="Y29" s="348">
        <f t="shared" si="8"/>
        <v>300068.11740216467</v>
      </c>
      <c r="Z29" s="348">
        <f t="shared" si="8"/>
        <v>339629.13075685425</v>
      </c>
      <c r="AA29" s="348">
        <f t="shared" si="8"/>
        <v>375958.61105490755</v>
      </c>
      <c r="AB29" s="2"/>
    </row>
    <row r="30" spans="1:28" hidden="1">
      <c r="B30" s="139"/>
      <c r="C30" s="169"/>
      <c r="D30" s="1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2"/>
    </row>
    <row r="31" spans="1:28" ht="6" customHeight="1">
      <c r="B31" s="139"/>
      <c r="C31" s="169"/>
      <c r="D31" s="1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2"/>
    </row>
    <row r="32" spans="1:28" ht="4" customHeight="1">
      <c r="B32" s="139"/>
      <c r="C32" s="169"/>
      <c r="D32" s="1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2"/>
    </row>
    <row r="33" spans="1:28" ht="15" customHeight="1">
      <c r="B33" s="140" t="s">
        <v>263</v>
      </c>
      <c r="C33" s="350"/>
      <c r="D33" s="350"/>
      <c r="E33" s="347"/>
      <c r="F33" s="347"/>
      <c r="G33" s="347">
        <f>-'Proyectos Inmob detall'!G521-'Proyectos Inmob detall'!G593</f>
        <v>-4708</v>
      </c>
      <c r="H33" s="347">
        <f>-'Proyectos Inmob detall'!H521-'Proyectos Inmob detall'!H593</f>
        <v>-3712</v>
      </c>
      <c r="I33" s="347">
        <f>-'Proyectos Inmob detall'!I521-'Proyectos Inmob detall'!I593</f>
        <v>-5374.72</v>
      </c>
      <c r="J33" s="347">
        <f>-'Proyectos Inmob detall'!J521-'Proyectos Inmob detall'!J593</f>
        <v>-6022.3488000000007</v>
      </c>
      <c r="K33" s="347">
        <f>-'Proyectos Inmob detall'!K521-'Proyectos Inmob detall'!K593</f>
        <v>-6263.242752000001</v>
      </c>
      <c r="L33" s="347">
        <f>-'Proyectos Inmob detall'!L521-'Proyectos Inmob detall'!L593</f>
        <v>-6513.7724620800018</v>
      </c>
      <c r="M33" s="347">
        <f>-'Proyectos Inmob detall'!M521-'Proyectos Inmob detall'!M593</f>
        <v>-8545.7699864576025</v>
      </c>
      <c r="N33" s="347">
        <f>-'Proyectos Inmob detall'!N521-'Proyectos Inmob detall'!N593</f>
        <v>-9393.7283933143062</v>
      </c>
      <c r="O33" s="347">
        <f>-'Proyectos Inmob detall'!O521-'Proyectos Inmob detall'!O593</f>
        <v>-9769.4775290468788</v>
      </c>
      <c r="P33" s="347">
        <f>-'Proyectos Inmob detall'!P521-'Proyectos Inmob detall'!P593</f>
        <v>-10160.256630208754</v>
      </c>
      <c r="Q33" s="347">
        <f>-'Proyectos Inmob detall'!Q521-'Proyectos Inmob detall'!Q593</f>
        <v>-10566.666895417107</v>
      </c>
      <c r="R33" s="347">
        <f>-'Proyectos Inmob detall'!R521-'Proyectos Inmob detall'!R593</f>
        <v>-4523.6265347104609</v>
      </c>
      <c r="S33" s="347">
        <f>-'Proyectos Inmob detall'!S521-'Proyectos Inmob detall'!S593+6000</f>
        <v>-3581.5620465050506</v>
      </c>
      <c r="T33" s="347">
        <f>-'Proyectos Inmob detall'!T521-'Proyectos Inmob detall'!T593</f>
        <v>-11886.06319064647</v>
      </c>
      <c r="U33" s="347">
        <f>-'Proyectos Inmob detall'!U521-'Proyectos Inmob detall'!U593</f>
        <v>-12361.505718272329</v>
      </c>
      <c r="V33" s="347">
        <f>-'Proyectos Inmob detall'!V521-'Proyectos Inmob detall'!V593</f>
        <v>-12855.965947003222</v>
      </c>
      <c r="W33" s="347">
        <f>-'Proyectos Inmob detall'!W521-'Proyectos Inmob detall'!W593</f>
        <v>-13370.204584883351</v>
      </c>
      <c r="X33" s="347">
        <f>-'Proyectos Inmob detall'!X521-'Proyectos Inmob detall'!X593</f>
        <v>-5723.8306869423041</v>
      </c>
      <c r="Y33" s="347">
        <f>-'Proyectos Inmob detall'!Y521-'Proyectos Inmob detall'!Y593</f>
        <v>-12123.732684342298</v>
      </c>
      <c r="Z33" s="347">
        <f>-'Proyectos Inmob detall'!Z521-'Proyectos Inmob detall'!Z593</f>
        <v>-15039.661810170228</v>
      </c>
      <c r="AA33" s="347">
        <f>-'Proyectos Inmob detall'!AA521-'Proyectos Inmob detall'!AA593</f>
        <v>-15641.248282577037</v>
      </c>
      <c r="AB33" s="2"/>
    </row>
    <row r="34" spans="1:28" ht="15" customHeight="1">
      <c r="B34" s="141" t="s">
        <v>264</v>
      </c>
      <c r="C34" s="351"/>
      <c r="D34" s="351"/>
      <c r="E34" s="348"/>
      <c r="F34" s="348"/>
      <c r="G34" s="348">
        <f>+'Proyectos Inmob detall'!G528+'Proyectos Inmob detall'!G594</f>
        <v>0</v>
      </c>
      <c r="H34" s="348">
        <f>+'Proyectos Inmob detall'!H528+'Proyectos Inmob detall'!H594</f>
        <v>0</v>
      </c>
      <c r="I34" s="348">
        <f>+'Proyectos Inmob detall'!I528+'Proyectos Inmob detall'!I594</f>
        <v>4527.0615522650005</v>
      </c>
      <c r="J34" s="348">
        <f>+'Proyectos Inmob detall'!J528+'Proyectos Inmob detall'!J594</f>
        <v>0</v>
      </c>
      <c r="K34" s="348">
        <f>+'Proyectos Inmob detall'!K528+'Proyectos Inmob detall'!K594</f>
        <v>2800</v>
      </c>
      <c r="L34" s="348">
        <f>+'Proyectos Inmob detall'!L528+'Proyectos Inmob detall'!L594</f>
        <v>3712</v>
      </c>
      <c r="M34" s="348">
        <f>+'Proyectos Inmob detall'!M528+'Proyectos Inmob detall'!M594</f>
        <v>5374.72</v>
      </c>
      <c r="N34" s="348">
        <f>+'Proyectos Inmob detall'!N528+'Proyectos Inmob detall'!N594</f>
        <v>6022.3488000000007</v>
      </c>
      <c r="O34" s="348">
        <f>+'Proyectos Inmob detall'!O528+'Proyectos Inmob detall'!O594</f>
        <v>6263.242752000001</v>
      </c>
      <c r="P34" s="348">
        <f>+'Proyectos Inmob detall'!P528+'Proyectos Inmob detall'!P594</f>
        <v>6513.7724620800018</v>
      </c>
      <c r="Q34" s="348">
        <f>+'Proyectos Inmob detall'!Q528+'Proyectos Inmob detall'!Q594</f>
        <v>8545.7699864576025</v>
      </c>
      <c r="R34" s="348">
        <f>+'Proyectos Inmob detall'!R528+'Proyectos Inmob detall'!R594</f>
        <v>9393.7283933143062</v>
      </c>
      <c r="S34" s="348">
        <f>+'Proyectos Inmob detall'!S528+'Proyectos Inmob detall'!S594</f>
        <v>9769.4775290468788</v>
      </c>
      <c r="T34" s="348">
        <f>+'Proyectos Inmob detall'!T528+'Proyectos Inmob detall'!T594</f>
        <v>10160.256630208754</v>
      </c>
      <c r="U34" s="348">
        <f>+'Proyectos Inmob detall'!U528+'Proyectos Inmob detall'!U594</f>
        <v>10566.666895417107</v>
      </c>
      <c r="V34" s="348">
        <f>+'Proyectos Inmob detall'!V528+'Proyectos Inmob detall'!V594</f>
        <v>4523.6265347104609</v>
      </c>
      <c r="W34" s="348">
        <f>+'Proyectos Inmob detall'!W528+'Proyectos Inmob detall'!W594</f>
        <v>9581.5620465050506</v>
      </c>
      <c r="X34" s="348">
        <f>+'Proyectos Inmob detall'!X528+'Proyectos Inmob detall'!X594</f>
        <v>11886.06319064647</v>
      </c>
      <c r="Y34" s="348">
        <f>+'Proyectos Inmob detall'!Y528+'Proyectos Inmob detall'!Y594</f>
        <v>12361.505718272329</v>
      </c>
      <c r="Z34" s="348">
        <f>+'Proyectos Inmob detall'!Z528+'Proyectos Inmob detall'!Z594</f>
        <v>12855.965947003222</v>
      </c>
      <c r="AA34" s="348">
        <f>+'Proyectos Inmob detall'!AA528+'Proyectos Inmob detall'!AA594</f>
        <v>13370.204584883351</v>
      </c>
      <c r="AB34" s="2"/>
    </row>
    <row r="35" spans="1:28" ht="15" customHeight="1">
      <c r="B35" s="142" t="s">
        <v>344</v>
      </c>
      <c r="C35" s="169"/>
      <c r="D35" s="169"/>
      <c r="E35" s="64"/>
      <c r="F35" s="64"/>
      <c r="G35" s="64">
        <f>+G33+G34</f>
        <v>-4708</v>
      </c>
      <c r="H35" s="64">
        <f t="shared" ref="H35:AA35" si="9">+H33+H34</f>
        <v>-3712</v>
      </c>
      <c r="I35" s="64">
        <f t="shared" si="9"/>
        <v>-847.65844773499975</v>
      </c>
      <c r="J35" s="64">
        <f t="shared" si="9"/>
        <v>-6022.3488000000007</v>
      </c>
      <c r="K35" s="64">
        <f t="shared" si="9"/>
        <v>-3463.242752000001</v>
      </c>
      <c r="L35" s="64">
        <f t="shared" si="9"/>
        <v>-2801.7724620800018</v>
      </c>
      <c r="M35" s="64">
        <f t="shared" si="9"/>
        <v>-3171.0499864576022</v>
      </c>
      <c r="N35" s="64">
        <f t="shared" si="9"/>
        <v>-3371.3795933143056</v>
      </c>
      <c r="O35" s="64">
        <f t="shared" si="9"/>
        <v>-3506.2347770468778</v>
      </c>
      <c r="P35" s="64">
        <f t="shared" si="9"/>
        <v>-3646.4841681287526</v>
      </c>
      <c r="Q35" s="64">
        <f t="shared" si="9"/>
        <v>-2020.8969089595048</v>
      </c>
      <c r="R35" s="64">
        <f t="shared" si="9"/>
        <v>4870.1018586038454</v>
      </c>
      <c r="S35" s="64">
        <f t="shared" si="9"/>
        <v>6187.9154825418282</v>
      </c>
      <c r="T35" s="64">
        <f t="shared" si="9"/>
        <v>-1725.8065604377152</v>
      </c>
      <c r="U35" s="64">
        <f t="shared" si="9"/>
        <v>-1794.8388228552212</v>
      </c>
      <c r="V35" s="64">
        <f t="shared" si="9"/>
        <v>-8332.3394122927602</v>
      </c>
      <c r="W35" s="64">
        <f t="shared" si="9"/>
        <v>-3788.6425383783007</v>
      </c>
      <c r="X35" s="64">
        <f t="shared" si="9"/>
        <v>6162.2325037041655</v>
      </c>
      <c r="Y35" s="64">
        <f t="shared" si="9"/>
        <v>237.77303393003058</v>
      </c>
      <c r="Z35" s="64">
        <f t="shared" si="9"/>
        <v>-2183.6958631670059</v>
      </c>
      <c r="AA35" s="64">
        <f t="shared" si="9"/>
        <v>-2271.0436976936853</v>
      </c>
      <c r="AB35" s="2"/>
    </row>
    <row r="36" spans="1:28" ht="15" customHeight="1">
      <c r="B36" s="142" t="s">
        <v>345</v>
      </c>
      <c r="C36" s="169"/>
      <c r="D36" s="169"/>
      <c r="E36" s="64"/>
      <c r="F36" s="64"/>
      <c r="G36" s="64">
        <f>+F36+G35</f>
        <v>-4708</v>
      </c>
      <c r="H36" s="64">
        <f t="shared" ref="H36:AA36" si="10">+G36+H35</f>
        <v>-8420</v>
      </c>
      <c r="I36" s="64">
        <f t="shared" si="10"/>
        <v>-9267.6584477350007</v>
      </c>
      <c r="J36" s="64">
        <f t="shared" si="10"/>
        <v>-15290.007247735</v>
      </c>
      <c r="K36" s="64">
        <f t="shared" si="10"/>
        <v>-18753.249999735002</v>
      </c>
      <c r="L36" s="64">
        <f t="shared" si="10"/>
        <v>-21555.022461815002</v>
      </c>
      <c r="M36" s="64">
        <f t="shared" si="10"/>
        <v>-24726.072448272604</v>
      </c>
      <c r="N36" s="64">
        <f t="shared" si="10"/>
        <v>-28097.452041586908</v>
      </c>
      <c r="O36" s="64">
        <f t="shared" si="10"/>
        <v>-31603.686818633785</v>
      </c>
      <c r="P36" s="64">
        <f t="shared" si="10"/>
        <v>-35250.17098676254</v>
      </c>
      <c r="Q36" s="64">
        <f t="shared" si="10"/>
        <v>-37271.067895722044</v>
      </c>
      <c r="R36" s="64">
        <f t="shared" si="10"/>
        <v>-32400.9660371182</v>
      </c>
      <c r="S36" s="64">
        <f t="shared" si="10"/>
        <v>-26213.050554576374</v>
      </c>
      <c r="T36" s="64">
        <f t="shared" si="10"/>
        <v>-27938.857115014089</v>
      </c>
      <c r="U36" s="64">
        <f t="shared" si="10"/>
        <v>-29733.69593786931</v>
      </c>
      <c r="V36" s="64">
        <f t="shared" si="10"/>
        <v>-38066.03535016207</v>
      </c>
      <c r="W36" s="64">
        <f t="shared" si="10"/>
        <v>-41854.677888540369</v>
      </c>
      <c r="X36" s="64">
        <f t="shared" si="10"/>
        <v>-35692.445384836203</v>
      </c>
      <c r="Y36" s="64">
        <f t="shared" si="10"/>
        <v>-35454.67235090617</v>
      </c>
      <c r="Z36" s="64">
        <f t="shared" si="10"/>
        <v>-37638.368214073176</v>
      </c>
      <c r="AA36" s="64">
        <f t="shared" si="10"/>
        <v>-39909.41191176686</v>
      </c>
      <c r="AB36" s="2"/>
    </row>
    <row r="37" spans="1:28" s="169" customFormat="1" ht="15" customHeight="1">
      <c r="B37" s="20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368">
        <f>+R38/PyG!W5</f>
        <v>3.5769901502797886E-2</v>
      </c>
      <c r="S37" s="64"/>
      <c r="T37" s="64"/>
      <c r="U37" s="64"/>
      <c r="V37" s="64"/>
      <c r="W37" s="64"/>
      <c r="X37" s="64"/>
      <c r="Y37" s="64"/>
      <c r="Z37" s="64"/>
      <c r="AA37" s="64"/>
      <c r="AB37" s="64"/>
    </row>
    <row r="38" spans="1:28" ht="15" customHeight="1">
      <c r="B38" s="142" t="s">
        <v>376</v>
      </c>
      <c r="C38" s="169"/>
      <c r="D38" s="169"/>
      <c r="E38" s="64"/>
      <c r="F38" s="64"/>
      <c r="G38" s="64">
        <f>+G28+G35</f>
        <v>-6836.3484208144382</v>
      </c>
      <c r="H38" s="64">
        <f t="shared" ref="H38:AA38" si="11">+H28+H35</f>
        <v>-13458.394735376074</v>
      </c>
      <c r="I38" s="64">
        <f t="shared" si="11"/>
        <v>-9891.1955609229917</v>
      </c>
      <c r="J38" s="64">
        <f t="shared" si="11"/>
        <v>-6929.8201025315893</v>
      </c>
      <c r="K38" s="64">
        <f t="shared" si="11"/>
        <v>-8059.8139147498468</v>
      </c>
      <c r="L38" s="64">
        <f t="shared" si="11"/>
        <v>-956.72821121653942</v>
      </c>
      <c r="M38" s="64">
        <f t="shared" si="11"/>
        <v>12321.136106027723</v>
      </c>
      <c r="N38" s="64">
        <f t="shared" si="11"/>
        <v>14676.994835440917</v>
      </c>
      <c r="O38" s="64">
        <f t="shared" si="11"/>
        <v>12532.309075032568</v>
      </c>
      <c r="P38" s="64">
        <f t="shared" si="11"/>
        <v>14097.319016038824</v>
      </c>
      <c r="Q38" s="64">
        <f t="shared" si="11"/>
        <v>17336.575922229964</v>
      </c>
      <c r="R38" s="64">
        <f t="shared" si="11"/>
        <v>26855.967724875365</v>
      </c>
      <c r="S38" s="64">
        <f t="shared" si="11"/>
        <v>54106.688407703557</v>
      </c>
      <c r="T38" s="64">
        <f t="shared" si="11"/>
        <v>28533.308034932681</v>
      </c>
      <c r="U38" s="64">
        <f t="shared" si="11"/>
        <v>24117.299701517648</v>
      </c>
      <c r="V38" s="64">
        <f t="shared" si="11"/>
        <v>18434.640165139717</v>
      </c>
      <c r="W38" s="64">
        <f t="shared" si="11"/>
        <v>24576.102637077223</v>
      </c>
      <c r="X38" s="64">
        <f t="shared" si="11"/>
        <v>28540.994115840171</v>
      </c>
      <c r="Y38" s="64">
        <f t="shared" si="11"/>
        <v>34616.410255013659</v>
      </c>
      <c r="Z38" s="64">
        <f t="shared" si="11"/>
        <v>37377.317491522554</v>
      </c>
      <c r="AA38" s="64">
        <f t="shared" si="11"/>
        <v>34058.436600359586</v>
      </c>
      <c r="AB38" s="2"/>
    </row>
    <row r="39" spans="1:28" ht="15" customHeight="1">
      <c r="B39" s="142" t="s">
        <v>377</v>
      </c>
      <c r="C39" s="169"/>
      <c r="D39" s="169"/>
      <c r="E39" s="64"/>
      <c r="F39" s="64"/>
      <c r="G39" s="64">
        <f>+F39+G38</f>
        <v>-6836.3484208144382</v>
      </c>
      <c r="H39" s="64">
        <f t="shared" ref="H39:AA39" si="12">+G39+H38</f>
        <v>-20294.74315619051</v>
      </c>
      <c r="I39" s="64">
        <f t="shared" si="12"/>
        <v>-30185.938717113502</v>
      </c>
      <c r="J39" s="64">
        <f t="shared" si="12"/>
        <v>-37115.758819645089</v>
      </c>
      <c r="K39" s="64">
        <f t="shared" si="12"/>
        <v>-45175.572734394933</v>
      </c>
      <c r="L39" s="64">
        <f t="shared" si="12"/>
        <v>-46132.300945611474</v>
      </c>
      <c r="M39" s="64">
        <f t="shared" si="12"/>
        <v>-33811.164839583755</v>
      </c>
      <c r="N39" s="64">
        <f t="shared" si="12"/>
        <v>-19134.170004142838</v>
      </c>
      <c r="O39" s="64">
        <f t="shared" si="12"/>
        <v>-6601.8609291102694</v>
      </c>
      <c r="P39" s="64">
        <f t="shared" si="12"/>
        <v>7495.4580869285546</v>
      </c>
      <c r="Q39" s="64">
        <f t="shared" si="12"/>
        <v>24832.034009158517</v>
      </c>
      <c r="R39" s="64">
        <f t="shared" si="12"/>
        <v>51688.001734033882</v>
      </c>
      <c r="S39" s="64">
        <f t="shared" si="12"/>
        <v>105794.69014173743</v>
      </c>
      <c r="T39" s="64">
        <f t="shared" si="12"/>
        <v>134327.99817667011</v>
      </c>
      <c r="U39" s="64">
        <f t="shared" si="12"/>
        <v>158445.29787818776</v>
      </c>
      <c r="V39" s="64">
        <f t="shared" si="12"/>
        <v>176879.93804332748</v>
      </c>
      <c r="W39" s="64">
        <f t="shared" si="12"/>
        <v>201456.04068040469</v>
      </c>
      <c r="X39" s="64">
        <f t="shared" si="12"/>
        <v>229997.03479624487</v>
      </c>
      <c r="Y39" s="64">
        <f t="shared" si="12"/>
        <v>264613.44505125855</v>
      </c>
      <c r="Z39" s="64">
        <f t="shared" si="12"/>
        <v>301990.76254278107</v>
      </c>
      <c r="AA39" s="64">
        <f t="shared" si="12"/>
        <v>336049.19914314063</v>
      </c>
      <c r="AB39" s="2"/>
    </row>
    <row r="40" spans="1:28" ht="4" customHeight="1">
      <c r="B40" s="139"/>
      <c r="C40" s="169"/>
      <c r="D40" s="169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2"/>
    </row>
    <row r="41" spans="1:28" ht="15" customHeight="1">
      <c r="A41" t="s">
        <v>160</v>
      </c>
      <c r="B41" s="140" t="s">
        <v>161</v>
      </c>
      <c r="C41" s="350"/>
      <c r="D41" s="350"/>
      <c r="E41" s="347">
        <f>+'Cajas Atrapadas'!O44</f>
        <v>0</v>
      </c>
      <c r="F41" s="347">
        <f>+'Cajas Atrapadas'!P44</f>
        <v>0</v>
      </c>
      <c r="G41" s="347">
        <f>+'Cajas Atrapadas'!Q44</f>
        <v>3846.9362500100001</v>
      </c>
      <c r="H41" s="347">
        <f>+'Cajas Atrapadas'!R44</f>
        <v>2825.0695449999998</v>
      </c>
      <c r="I41" s="347">
        <f>+'Cajas Atrapadas'!S44</f>
        <v>260.77101600000003</v>
      </c>
      <c r="J41" s="347">
        <f>+'Cajas Atrapadas'!T44</f>
        <v>7160.66597</v>
      </c>
      <c r="K41" s="347">
        <f>+'Cajas Atrapadas'!U44</f>
        <v>0</v>
      </c>
      <c r="L41" s="347">
        <f>+'Cajas Atrapadas'!V44</f>
        <v>0</v>
      </c>
      <c r="M41" s="347">
        <f>+'Cajas Atrapadas'!W44</f>
        <v>0</v>
      </c>
      <c r="N41" s="347">
        <f>+'Cajas Atrapadas'!X44</f>
        <v>0</v>
      </c>
      <c r="O41" s="347">
        <f>+'Cajas Atrapadas'!Y44</f>
        <v>0</v>
      </c>
      <c r="P41" s="347">
        <f>+'Cajas Atrapadas'!Z44</f>
        <v>0</v>
      </c>
      <c r="Q41" s="347">
        <f>+'Cajas Atrapadas'!AA44</f>
        <v>0</v>
      </c>
      <c r="R41" s="347">
        <f>+'Cajas Atrapadas'!AB44</f>
        <v>0</v>
      </c>
      <c r="S41" s="347">
        <f>+'Cajas Atrapadas'!AC44</f>
        <v>0</v>
      </c>
      <c r="T41" s="347">
        <f>+'Cajas Atrapadas'!AD44</f>
        <v>0</v>
      </c>
      <c r="U41" s="347">
        <f>+'Cajas Atrapadas'!AE44</f>
        <v>0</v>
      </c>
      <c r="V41" s="347">
        <f>+'Cajas Atrapadas'!AF44</f>
        <v>0</v>
      </c>
      <c r="W41" s="347">
        <f>+'Cajas Atrapadas'!AG44</f>
        <v>0</v>
      </c>
      <c r="X41" s="347">
        <f>+'Cajas Atrapadas'!AH44</f>
        <v>0</v>
      </c>
      <c r="Y41" s="347">
        <f>+'Cajas Atrapadas'!AI44</f>
        <v>0</v>
      </c>
      <c r="Z41" s="347">
        <f>+'Cajas Atrapadas'!AJ44</f>
        <v>0</v>
      </c>
      <c r="AA41" s="347">
        <f>+'Cajas Atrapadas'!AK44</f>
        <v>0</v>
      </c>
      <c r="AB41" s="2"/>
    </row>
    <row r="42" spans="1:28">
      <c r="A42" t="s">
        <v>162</v>
      </c>
      <c r="B42" s="141" t="s">
        <v>163</v>
      </c>
      <c r="C42" s="351"/>
      <c r="D42" s="351"/>
      <c r="E42" s="348">
        <f>+E41</f>
        <v>0</v>
      </c>
      <c r="F42" s="348">
        <f>+F41+E42</f>
        <v>0</v>
      </c>
      <c r="G42" s="348">
        <f t="shared" ref="G42:AA42" si="13">+G41+F42</f>
        <v>3846.9362500100001</v>
      </c>
      <c r="H42" s="348">
        <f t="shared" si="13"/>
        <v>6672.0057950099999</v>
      </c>
      <c r="I42" s="348">
        <f t="shared" si="13"/>
        <v>6932.7768110099996</v>
      </c>
      <c r="J42" s="348">
        <f t="shared" si="13"/>
        <v>14093.442781009999</v>
      </c>
      <c r="K42" s="348">
        <f t="shared" si="13"/>
        <v>14093.442781009999</v>
      </c>
      <c r="L42" s="348">
        <f t="shared" si="13"/>
        <v>14093.442781009999</v>
      </c>
      <c r="M42" s="348">
        <f t="shared" si="13"/>
        <v>14093.442781009999</v>
      </c>
      <c r="N42" s="348">
        <f t="shared" si="13"/>
        <v>14093.442781009999</v>
      </c>
      <c r="O42" s="348">
        <f t="shared" si="13"/>
        <v>14093.442781009999</v>
      </c>
      <c r="P42" s="348">
        <f t="shared" si="13"/>
        <v>14093.442781009999</v>
      </c>
      <c r="Q42" s="348">
        <f t="shared" si="13"/>
        <v>14093.442781009999</v>
      </c>
      <c r="R42" s="348">
        <f t="shared" si="13"/>
        <v>14093.442781009999</v>
      </c>
      <c r="S42" s="348">
        <f t="shared" si="13"/>
        <v>14093.442781009999</v>
      </c>
      <c r="T42" s="348">
        <f t="shared" si="13"/>
        <v>14093.442781009999</v>
      </c>
      <c r="U42" s="348">
        <f t="shared" si="13"/>
        <v>14093.442781009999</v>
      </c>
      <c r="V42" s="348">
        <f t="shared" si="13"/>
        <v>14093.442781009999</v>
      </c>
      <c r="W42" s="348">
        <f t="shared" si="13"/>
        <v>14093.442781009999</v>
      </c>
      <c r="X42" s="348">
        <f t="shared" si="13"/>
        <v>14093.442781009999</v>
      </c>
      <c r="Y42" s="348">
        <f t="shared" si="13"/>
        <v>14093.442781009999</v>
      </c>
      <c r="Z42" s="348">
        <f t="shared" si="13"/>
        <v>14093.442781009999</v>
      </c>
      <c r="AA42" s="348">
        <f t="shared" si="13"/>
        <v>14093.442781009999</v>
      </c>
      <c r="AB42" s="2"/>
    </row>
    <row r="43" spans="1:28" ht="5" customHeight="1">
      <c r="B43" s="139"/>
      <c r="C43" s="169"/>
      <c r="D43" s="169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2"/>
    </row>
    <row r="44" spans="1:28">
      <c r="A44" t="s">
        <v>164</v>
      </c>
      <c r="B44" s="140" t="s">
        <v>165</v>
      </c>
      <c r="C44" s="350"/>
      <c r="D44" s="350"/>
      <c r="E44" s="347">
        <f>+'Venta Activos'!E5</f>
        <v>0</v>
      </c>
      <c r="F44" s="347">
        <f>+'Venta Activos'!F5</f>
        <v>0</v>
      </c>
      <c r="G44" s="347">
        <f>+'Venta Activos'!G5</f>
        <v>0</v>
      </c>
      <c r="H44" s="347">
        <f>+'Venta Activos'!H5</f>
        <v>40363.349136388497</v>
      </c>
      <c r="I44" s="347">
        <f>+'Venta Activos'!I5</f>
        <v>34640.707915921499</v>
      </c>
      <c r="J44" s="347">
        <f>+'Venta Activos'!J5</f>
        <v>0</v>
      </c>
      <c r="K44" s="347">
        <f>+'Venta Activos'!K5</f>
        <v>14690.065288129997</v>
      </c>
      <c r="L44" s="347">
        <f>+'Venta Activos'!L5</f>
        <v>2912.4433333333336</v>
      </c>
      <c r="M44" s="347">
        <f>+'Venta Activos'!M5</f>
        <v>2591.876666666667</v>
      </c>
      <c r="N44" s="347">
        <f>+'Venta Activos'!N5</f>
        <v>3233.01</v>
      </c>
      <c r="O44" s="347">
        <f>+'Venta Activos'!O5</f>
        <v>0</v>
      </c>
      <c r="P44" s="347">
        <f>+'Venta Activos'!P5</f>
        <v>0</v>
      </c>
      <c r="Q44" s="347">
        <f>+'Venta Activos'!Q5</f>
        <v>0</v>
      </c>
      <c r="R44" s="347">
        <f>+'Venta Activos'!R5</f>
        <v>0</v>
      </c>
      <c r="S44" s="347">
        <f>+'Venta Activos'!S5</f>
        <v>0</v>
      </c>
      <c r="T44" s="347">
        <f>+'Venta Activos'!T5</f>
        <v>0</v>
      </c>
      <c r="U44" s="347">
        <f>+'Venta Activos'!U5</f>
        <v>0</v>
      </c>
      <c r="V44" s="347">
        <f>+'Venta Activos'!V5</f>
        <v>0</v>
      </c>
      <c r="W44" s="347">
        <f>+'Venta Activos'!W5</f>
        <v>0</v>
      </c>
      <c r="X44" s="347">
        <f>+'Venta Activos'!X5</f>
        <v>0</v>
      </c>
      <c r="Y44" s="347">
        <f>+'Venta Activos'!Y5</f>
        <v>0</v>
      </c>
      <c r="Z44" s="347">
        <f>+'Venta Activos'!Z5</f>
        <v>0</v>
      </c>
      <c r="AA44" s="347">
        <f>+'Venta Activos'!AA5</f>
        <v>0</v>
      </c>
      <c r="AB44" s="2"/>
    </row>
    <row r="45" spans="1:28">
      <c r="A45" t="s">
        <v>166</v>
      </c>
      <c r="B45" s="141" t="s">
        <v>167</v>
      </c>
      <c r="C45" s="351"/>
      <c r="D45" s="351"/>
      <c r="E45" s="348">
        <f>+E44</f>
        <v>0</v>
      </c>
      <c r="F45" s="348">
        <f>+E45+F44</f>
        <v>0</v>
      </c>
      <c r="G45" s="348">
        <f t="shared" ref="G45:AA45" si="14">+F45+G44</f>
        <v>0</v>
      </c>
      <c r="H45" s="348">
        <f t="shared" si="14"/>
        <v>40363.349136388497</v>
      </c>
      <c r="I45" s="348">
        <f t="shared" si="14"/>
        <v>75004.057052310003</v>
      </c>
      <c r="J45" s="348">
        <f t="shared" si="14"/>
        <v>75004.057052310003</v>
      </c>
      <c r="K45" s="348">
        <f t="shared" si="14"/>
        <v>89694.122340439993</v>
      </c>
      <c r="L45" s="348">
        <f t="shared" si="14"/>
        <v>92606.565673773322</v>
      </c>
      <c r="M45" s="348">
        <f t="shared" si="14"/>
        <v>95198.442340439986</v>
      </c>
      <c r="N45" s="348">
        <f t="shared" si="14"/>
        <v>98431.452340439981</v>
      </c>
      <c r="O45" s="348">
        <f t="shared" si="14"/>
        <v>98431.452340439981</v>
      </c>
      <c r="P45" s="348">
        <f t="shared" si="14"/>
        <v>98431.452340439981</v>
      </c>
      <c r="Q45" s="348">
        <f t="shared" si="14"/>
        <v>98431.452340439981</v>
      </c>
      <c r="R45" s="348">
        <f t="shared" si="14"/>
        <v>98431.452340439981</v>
      </c>
      <c r="S45" s="348">
        <f t="shared" si="14"/>
        <v>98431.452340439981</v>
      </c>
      <c r="T45" s="348">
        <f t="shared" si="14"/>
        <v>98431.452340439981</v>
      </c>
      <c r="U45" s="348">
        <f t="shared" si="14"/>
        <v>98431.452340439981</v>
      </c>
      <c r="V45" s="348">
        <f t="shared" si="14"/>
        <v>98431.452340439981</v>
      </c>
      <c r="W45" s="348">
        <f t="shared" si="14"/>
        <v>98431.452340439981</v>
      </c>
      <c r="X45" s="348">
        <f t="shared" si="14"/>
        <v>98431.452340439981</v>
      </c>
      <c r="Y45" s="348">
        <f t="shared" si="14"/>
        <v>98431.452340439981</v>
      </c>
      <c r="Z45" s="348">
        <f t="shared" si="14"/>
        <v>98431.452340439981</v>
      </c>
      <c r="AA45" s="348">
        <f t="shared" si="14"/>
        <v>98431.452340439981</v>
      </c>
      <c r="AB45" s="2"/>
    </row>
    <row r="46" spans="1:28" ht="4" customHeight="1">
      <c r="B46" s="139"/>
      <c r="C46" s="169"/>
      <c r="D46" s="169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2"/>
    </row>
    <row r="47" spans="1:28">
      <c r="A47" t="s">
        <v>168</v>
      </c>
      <c r="B47" s="143" t="s">
        <v>169</v>
      </c>
      <c r="C47" s="350"/>
      <c r="D47" s="350"/>
      <c r="E47" s="347">
        <f>+E28+E41+E44</f>
        <v>0</v>
      </c>
      <c r="F47" s="347">
        <f>+F28+F41+F44</f>
        <v>0</v>
      </c>
      <c r="G47" s="347">
        <f>+G28+G41+G44+G35</f>
        <v>-2989.4121708044381</v>
      </c>
      <c r="H47" s="347">
        <f t="shared" ref="H47:AA47" si="15">+H28+H41+H44+H35</f>
        <v>29730.023946012421</v>
      </c>
      <c r="I47" s="347">
        <f t="shared" si="15"/>
        <v>25010.283370998506</v>
      </c>
      <c r="J47" s="347">
        <f t="shared" si="15"/>
        <v>230.84586746841069</v>
      </c>
      <c r="K47" s="347">
        <f t="shared" si="15"/>
        <v>6630.2513733801507</v>
      </c>
      <c r="L47" s="347">
        <f t="shared" si="15"/>
        <v>1955.7151221167942</v>
      </c>
      <c r="M47" s="347">
        <f t="shared" si="15"/>
        <v>14913.01277269439</v>
      </c>
      <c r="N47" s="347">
        <f t="shared" si="15"/>
        <v>17910.004835440915</v>
      </c>
      <c r="O47" s="347">
        <f t="shared" si="15"/>
        <v>12532.309075032568</v>
      </c>
      <c r="P47" s="347">
        <f t="shared" si="15"/>
        <v>14097.319016038824</v>
      </c>
      <c r="Q47" s="347">
        <f t="shared" si="15"/>
        <v>17336.575922229964</v>
      </c>
      <c r="R47" s="347">
        <f t="shared" si="15"/>
        <v>26855.967724875365</v>
      </c>
      <c r="S47" s="347">
        <f t="shared" si="15"/>
        <v>54106.688407703557</v>
      </c>
      <c r="T47" s="347">
        <f t="shared" si="15"/>
        <v>28533.308034932681</v>
      </c>
      <c r="U47" s="347">
        <f t="shared" si="15"/>
        <v>24117.299701517648</v>
      </c>
      <c r="V47" s="347">
        <f t="shared" si="15"/>
        <v>18434.640165139717</v>
      </c>
      <c r="W47" s="347">
        <f t="shared" si="15"/>
        <v>24576.102637077223</v>
      </c>
      <c r="X47" s="347">
        <f t="shared" si="15"/>
        <v>28540.994115840171</v>
      </c>
      <c r="Y47" s="347">
        <f t="shared" si="15"/>
        <v>34616.410255013659</v>
      </c>
      <c r="Z47" s="347">
        <f t="shared" si="15"/>
        <v>37377.317491522554</v>
      </c>
      <c r="AA47" s="347">
        <f t="shared" si="15"/>
        <v>34058.436600359586</v>
      </c>
      <c r="AB47" s="2"/>
    </row>
    <row r="48" spans="1:28">
      <c r="A48" t="s">
        <v>171</v>
      </c>
      <c r="B48" s="144" t="s">
        <v>170</v>
      </c>
      <c r="C48" s="351"/>
      <c r="D48" s="351"/>
      <c r="E48" s="348">
        <f>+E29+E42+E45</f>
        <v>0</v>
      </c>
      <c r="F48" s="348">
        <f>+F29+F42+F45</f>
        <v>0</v>
      </c>
      <c r="G48" s="348">
        <f>+G29+G42+G45+G36</f>
        <v>-2989.4121708044381</v>
      </c>
      <c r="H48" s="348">
        <f t="shared" ref="H48:AA48" si="16">+H29+H42+H45+H36</f>
        <v>26740.611775207988</v>
      </c>
      <c r="I48" s="348">
        <f t="shared" si="16"/>
        <v>51750.895146206502</v>
      </c>
      <c r="J48" s="348">
        <f t="shared" si="16"/>
        <v>51981.741013674909</v>
      </c>
      <c r="K48" s="348">
        <f t="shared" si="16"/>
        <v>58611.992387055048</v>
      </c>
      <c r="L48" s="348">
        <f t="shared" si="16"/>
        <v>60567.707509171836</v>
      </c>
      <c r="M48" s="348">
        <f t="shared" si="16"/>
        <v>75480.720281866234</v>
      </c>
      <c r="N48" s="348">
        <f t="shared" si="16"/>
        <v>93390.725117307142</v>
      </c>
      <c r="O48" s="348">
        <f t="shared" si="16"/>
        <v>105923.03419233972</v>
      </c>
      <c r="P48" s="348">
        <f t="shared" si="16"/>
        <v>120020.35320837854</v>
      </c>
      <c r="Q48" s="348">
        <f t="shared" si="16"/>
        <v>137356.92913060851</v>
      </c>
      <c r="R48" s="348">
        <f t="shared" si="16"/>
        <v>164212.89685548385</v>
      </c>
      <c r="S48" s="348">
        <f t="shared" si="16"/>
        <v>218319.58526318741</v>
      </c>
      <c r="T48" s="348">
        <f t="shared" si="16"/>
        <v>246852.89329812009</v>
      </c>
      <c r="U48" s="348">
        <f t="shared" si="16"/>
        <v>270970.19299963774</v>
      </c>
      <c r="V48" s="348">
        <f t="shared" si="16"/>
        <v>289404.83316477743</v>
      </c>
      <c r="W48" s="348">
        <f t="shared" si="16"/>
        <v>313980.93580185465</v>
      </c>
      <c r="X48" s="348">
        <f t="shared" si="16"/>
        <v>342521.92991769488</v>
      </c>
      <c r="Y48" s="348">
        <f t="shared" si="16"/>
        <v>377138.3401727085</v>
      </c>
      <c r="Z48" s="348">
        <f t="shared" si="16"/>
        <v>414515.65766423108</v>
      </c>
      <c r="AA48" s="348">
        <f t="shared" si="16"/>
        <v>448574.09426459065</v>
      </c>
      <c r="AB48" s="2"/>
    </row>
    <row r="49" spans="1:28" ht="4" customHeight="1">
      <c r="B49" s="139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>
      <c r="B50" s="143" t="s">
        <v>172</v>
      </c>
      <c r="C50" s="86"/>
      <c r="D50" s="86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</row>
    <row r="51" spans="1:28">
      <c r="B51" s="139" t="s">
        <v>173</v>
      </c>
      <c r="C51" s="83"/>
      <c r="D51" s="83"/>
      <c r="E51" s="136"/>
      <c r="F51" s="136"/>
      <c r="G51" s="147">
        <v>0</v>
      </c>
      <c r="H51" s="147">
        <v>-3000</v>
      </c>
      <c r="I51" s="147">
        <v>-406</v>
      </c>
      <c r="J51" s="147">
        <f t="shared" ref="J51:V51" si="17">+I51</f>
        <v>-406</v>
      </c>
      <c r="K51" s="147">
        <f t="shared" si="17"/>
        <v>-406</v>
      </c>
      <c r="L51" s="147">
        <f t="shared" si="17"/>
        <v>-406</v>
      </c>
      <c r="M51" s="147">
        <f t="shared" si="17"/>
        <v>-406</v>
      </c>
      <c r="N51" s="147">
        <f t="shared" si="17"/>
        <v>-406</v>
      </c>
      <c r="O51" s="147">
        <f t="shared" si="17"/>
        <v>-406</v>
      </c>
      <c r="P51" s="147">
        <f t="shared" si="17"/>
        <v>-406</v>
      </c>
      <c r="Q51" s="147">
        <f t="shared" si="17"/>
        <v>-406</v>
      </c>
      <c r="R51" s="147">
        <f t="shared" si="17"/>
        <v>-406</v>
      </c>
      <c r="S51" s="147">
        <v>-1624</v>
      </c>
      <c r="T51" s="147">
        <v>0</v>
      </c>
      <c r="U51" s="147">
        <f t="shared" si="17"/>
        <v>0</v>
      </c>
      <c r="V51" s="147">
        <f t="shared" si="17"/>
        <v>0</v>
      </c>
      <c r="W51" s="136"/>
      <c r="X51" s="136"/>
      <c r="Y51" s="136"/>
      <c r="Z51" s="136"/>
      <c r="AA51" s="136"/>
      <c r="AB51" s="136"/>
    </row>
    <row r="52" spans="1:28" hidden="1">
      <c r="B52" s="139" t="s">
        <v>625</v>
      </c>
      <c r="C52" s="83"/>
      <c r="D52" s="83"/>
      <c r="E52" s="136"/>
      <c r="F52" s="136"/>
      <c r="G52" s="349">
        <f>IF(ab_2clase&lt;&gt;"Si",0,IF(F110&gt;0,IF(F110&lt;'Proyectos Inmob detall'!G596*Proyecciones!G59,-F110,-'Proyectos Inmob detall'!G596*Proyecciones!G59),0))</f>
        <v>0</v>
      </c>
      <c r="H52" s="349">
        <f>IF(ab_2clase&lt;&gt;"Si",0,IF(G110&gt;0,IF(G110&lt;'Proyectos Inmob detall'!H596*Proyecciones!H59,-G110,-'Proyectos Inmob detall'!H596*Proyecciones!H59),0))</f>
        <v>0</v>
      </c>
      <c r="I52" s="349">
        <f>IF(ab_2clase&lt;&gt;"Si",0,IF(H110&gt;0,IF(H110&lt;'Proyectos Inmob detall'!I596*Proyecciones!I59,-H110,-'Proyectos Inmob detall'!I596*Proyecciones!I59),0))</f>
        <v>0</v>
      </c>
      <c r="J52" s="349"/>
      <c r="K52" s="349"/>
      <c r="L52" s="349"/>
      <c r="M52" s="349"/>
      <c r="N52" s="349"/>
      <c r="O52" s="349">
        <f>IF(ab_2clase&lt;&gt;"Si",0,IF(N110&gt;0,IF(N110&lt;'Proyectos Inmob detall'!O596*Proyecciones!O59,-N110,-'Proyectos Inmob detall'!O596*Proyecciones!O59),0))</f>
        <v>0</v>
      </c>
      <c r="P52" s="349">
        <f>IF(ab_2clase&lt;&gt;"Si",0,IF(O110&gt;0,IF(O110&lt;'Proyectos Inmob detall'!P596*Proyecciones!P59,-O110,-'Proyectos Inmob detall'!P596*Proyecciones!P59),0))</f>
        <v>0</v>
      </c>
      <c r="Q52" s="349">
        <f>IF(ab_2clase&lt;&gt;"Si",0,IF(P110&gt;0,IF(P110&lt;'Proyectos Inmob detall'!Q596*Proyecciones!Q59,-P110,-'Proyectos Inmob detall'!Q596*Proyecciones!Q59),0))</f>
        <v>0</v>
      </c>
      <c r="R52" s="349">
        <f>IF(ab_2clase&lt;&gt;"Si",0,IF(Q110&gt;0,IF(Q110&lt;'Proyectos Inmob detall'!R596*Proyecciones!R59,-Q110,-'Proyectos Inmob detall'!R596*Proyecciones!R59),0))</f>
        <v>0</v>
      </c>
      <c r="S52" s="349">
        <f>IF(ab_2clase&lt;&gt;"Si",0,IF(R110&gt;0,IF(R110&lt;'Proyectos Inmob detall'!S596*Proyecciones!S59,-R110,-'Proyectos Inmob detall'!S596*Proyecciones!S59),0))</f>
        <v>0</v>
      </c>
      <c r="T52" s="349">
        <f>IF(ab_2clase&lt;&gt;"Si",0,IF(S110&gt;0,IF(S110&lt;'Proyectos Inmob detall'!T596*Proyecciones!T59,-S110,-'Proyectos Inmob detall'!T596*Proyecciones!T59),0))</f>
        <v>0</v>
      </c>
      <c r="U52" s="349">
        <f>IF(ab_2clase&lt;&gt;"Si",0,IF(T110&gt;0,IF(T110&lt;'Proyectos Inmob detall'!U596*Proyecciones!U59,-T110,-'Proyectos Inmob detall'!U596*Proyecciones!U59),0))</f>
        <v>0</v>
      </c>
      <c r="V52" s="349">
        <f>IF(ab_2clase&lt;&gt;"Si",0,IF(U110&gt;0,IF(U110&lt;'Proyectos Inmob detall'!V596*Proyecciones!V59,-U110,-'Proyectos Inmob detall'!V596*Proyecciones!V59),0))</f>
        <v>0</v>
      </c>
      <c r="W52" s="136"/>
      <c r="X52" s="136"/>
      <c r="Y52" s="136"/>
      <c r="Z52" s="136"/>
      <c r="AA52" s="136"/>
      <c r="AB52" s="136"/>
    </row>
    <row r="53" spans="1:28" hidden="1">
      <c r="B53" s="139" t="s">
        <v>626</v>
      </c>
      <c r="C53" s="83"/>
      <c r="D53" s="83"/>
      <c r="E53" s="136"/>
      <c r="F53" s="136"/>
      <c r="G53" s="349">
        <f>IF(ab_5clase&lt;&gt;"SI",0,IF(ab_2clase="Si",+IF(G110&gt;0,0,IF(F103&gt;0,IF(F103&lt;'Proyectos Inmob detall'!G596*Proyecciones!G61,-F103,-'Proyectos Inmob detall'!G596*Proyecciones!G61),0)),IF(F103&gt;0,IF(F103&lt;'Proyectos Inmob detall'!G596*Proyecciones!G61,-F103,-'Proyectos Inmob detall'!G596*Proyecciones!G61),0)))</f>
        <v>0</v>
      </c>
      <c r="H53" s="349">
        <f>IF(ab_5clase&lt;&gt;"SI",0,IF(ab_2clase="Si",+IF(H110&gt;0,0,IF(G103&gt;0,IF(G103&lt;'Proyectos Inmob detall'!H596*Proyecciones!H61,-G103,-'Proyectos Inmob detall'!H596*Proyecciones!H61),0)),IF(G103&gt;0,IF(G103&lt;'Proyectos Inmob detall'!H596*Proyecciones!H61,-G103,-'Proyectos Inmob detall'!H596*Proyecciones!H61),0)))</f>
        <v>0</v>
      </c>
      <c r="I53" s="349">
        <f>IF(ab_5clase&lt;&gt;"SI",0,IF(ab_2clase="Si",+IF(I110&gt;0,0,IF(H103&gt;0,IF(H103&lt;'Proyectos Inmob detall'!I596*Proyecciones!I61,-H103,-'Proyectos Inmob detall'!I596*Proyecciones!I61),0)),IF(H103&gt;0,IF(H103&lt;'Proyectos Inmob detall'!I596*Proyecciones!I61,-H103,-'Proyectos Inmob detall'!I596*Proyecciones!I61),0)))</f>
        <v>0</v>
      </c>
      <c r="J53" s="349">
        <f>IF(ab_5clase&lt;&gt;"SI",0,IF(ab_2clase="Si",+IF(J110&gt;0,0,IF(I103&gt;0,IF(I103&lt;'Proyectos Inmob detall'!J596*Proyecciones!J61,-I103,-'Proyectos Inmob detall'!J596*Proyecciones!J61),0)),IF(I103&gt;0,IF(I103&lt;'Proyectos Inmob detall'!J596*Proyecciones!J61,-I103,-'Proyectos Inmob detall'!J596*Proyecciones!J61),0)))</f>
        <v>0</v>
      </c>
      <c r="K53" s="349">
        <f>IF(ab_5clase&lt;&gt;"SI",0,IF(ab_2clase="Si",+IF(K110&gt;0,0,IF(J103&gt;0,IF(J103&lt;'Proyectos Inmob detall'!K596*Proyecciones!K61,-J103,-'Proyectos Inmob detall'!K596*Proyecciones!K61),0)),IF(J103&gt;0,IF(J103&lt;'Proyectos Inmob detall'!K596*Proyecciones!K61,-J103,-'Proyectos Inmob detall'!K596*Proyecciones!K61),0)))</f>
        <v>0</v>
      </c>
      <c r="L53" s="349">
        <f>IF(ab_5clase&lt;&gt;"SI",0,IF(ab_2clase="Si",+IF(L110&gt;0,0,IF(K103&gt;0,IF(K103&lt;'Proyectos Inmob detall'!L596*Proyecciones!L61,-K103,-'Proyectos Inmob detall'!L596*Proyecciones!L61),0)),IF(K103&gt;0,IF(K103&lt;'Proyectos Inmob detall'!L596*Proyecciones!L61,-K103,-'Proyectos Inmob detall'!L596*Proyecciones!L61),0)))</f>
        <v>0</v>
      </c>
      <c r="M53" s="349">
        <f>IF(ab_5clase&lt;&gt;"SI",0,IF(ab_2clase="Si",+IF(M110&gt;0,0,IF(L103&gt;0,IF(L103&lt;'Proyectos Inmob detall'!M596*Proyecciones!M61,-L103,-'Proyectos Inmob detall'!M596*Proyecciones!M61),0)),IF(L103&gt;0,IF(L103&lt;'Proyectos Inmob detall'!M596*Proyecciones!M61,-L103,-'Proyectos Inmob detall'!M596*Proyecciones!M61),0)))</f>
        <v>0</v>
      </c>
      <c r="N53" s="349">
        <f>IF(ab_5clase&lt;&gt;"SI",0,IF(ab_2clase="Si",+IF(N110&gt;0,0,IF(M103&gt;0,IF(M103&lt;'Proyectos Inmob detall'!N596*Proyecciones!N61,-M103,-'Proyectos Inmob detall'!N596*Proyecciones!N61),0)),IF(M103&gt;0,IF(M103&lt;'Proyectos Inmob detall'!N596*Proyecciones!N61,-M103,-'Proyectos Inmob detall'!N596*Proyecciones!N61),0)))</f>
        <v>0</v>
      </c>
      <c r="O53" s="349">
        <f>IF(ab_5clase&lt;&gt;"SI",0,IF(ab_2clase="Si",+IF(O110&gt;0,0,IF(N103&gt;0,IF(N103&lt;'Proyectos Inmob detall'!O596*Proyecciones!O61,-N103,-'Proyectos Inmob detall'!O596*Proyecciones!O61),0)),IF(N103&gt;0,IF(N103&lt;'Proyectos Inmob detall'!O596*Proyecciones!O61,-N103,-'Proyectos Inmob detall'!O596*Proyecciones!O61),0)))</f>
        <v>0</v>
      </c>
      <c r="P53" s="349">
        <f>IF(ab_5clase&lt;&gt;"SI",0,IF(ab_2clase="Si",+IF(P110&gt;0,0,IF(O103&gt;0,IF(O103&lt;'Proyectos Inmob detall'!P596*Proyecciones!P61,-O103,-'Proyectos Inmob detall'!P596*Proyecciones!P61),0)),IF(O103&gt;0,IF(O103&lt;'Proyectos Inmob detall'!P596*Proyecciones!P61,-O103,-'Proyectos Inmob detall'!P596*Proyecciones!P61),0)))</f>
        <v>0</v>
      </c>
      <c r="Q53" s="349">
        <f>IF(ab_5clase&lt;&gt;"SI",0,IF(ab_2clase="Si",+IF(Q110&gt;0,0,IF(P103&gt;0,IF(P103&lt;'Proyectos Inmob detall'!Q596*Proyecciones!Q61,-P103,-'Proyectos Inmob detall'!Q596*Proyecciones!Q61),0)),IF(P103&gt;0,IF(P103&lt;'Proyectos Inmob detall'!Q596*Proyecciones!Q61,-P103,-'Proyectos Inmob detall'!Q596*Proyecciones!Q61),0)))</f>
        <v>0</v>
      </c>
      <c r="R53" s="349">
        <f>IF(ab_5clase&lt;&gt;"SI",0,IF(ab_2clase="Si",+IF(R110&gt;0,0,IF(Q103&gt;0,IF(Q103&lt;'Proyectos Inmob detall'!R596*Proyecciones!R61,-Q103,-'Proyectos Inmob detall'!R596*Proyecciones!R61),0)),IF(Q103&gt;0,IF(Q103&lt;'Proyectos Inmob detall'!R596*Proyecciones!R61,-Q103,-'Proyectos Inmob detall'!R596*Proyecciones!R61),0)))</f>
        <v>0</v>
      </c>
      <c r="S53" s="349">
        <f>IF(ab_5clase&lt;&gt;"SI",0,IF(ab_2clase="Si",+IF(S110&gt;0,0,IF(R103&gt;0,IF(R103&lt;'Proyectos Inmob detall'!S596*Proyecciones!S61,-R103,-'Proyectos Inmob detall'!S596*Proyecciones!S61),0)),IF(R103&gt;0,IF(R103&lt;'Proyectos Inmob detall'!S596*Proyecciones!S61,-R103,-'Proyectos Inmob detall'!S596*Proyecciones!S61),0)))</f>
        <v>0</v>
      </c>
      <c r="T53" s="349">
        <f>IF(ab_5clase&lt;&gt;"SI",0,IF(ab_2clase="Si",+IF(T110&gt;0,0,IF(S103&gt;0,IF(S103&lt;'Proyectos Inmob detall'!T596*Proyecciones!T61,-S103,-'Proyectos Inmob detall'!T596*Proyecciones!T61),0)),IF(S103&gt;0,IF(S103&lt;'Proyectos Inmob detall'!T596*Proyecciones!T61,-S103,-'Proyectos Inmob detall'!T596*Proyecciones!T61),0)))</f>
        <v>0</v>
      </c>
      <c r="U53" s="349">
        <f>IF(ab_5clase&lt;&gt;"SI",0,IF(ab_2clase="Si",+IF(U110&gt;0,0,IF(T103&gt;0,IF(T103&lt;'Proyectos Inmob detall'!U596*Proyecciones!U61,-T103,-'Proyectos Inmob detall'!U596*Proyecciones!U61),0)),IF(T103&gt;0,IF(T103&lt;'Proyectos Inmob detall'!U596*Proyecciones!U61,-T103,-'Proyectos Inmob detall'!U596*Proyecciones!U61),0)))</f>
        <v>0</v>
      </c>
      <c r="V53" s="349"/>
      <c r="W53" s="136"/>
      <c r="X53" s="136"/>
      <c r="Y53" s="136"/>
      <c r="Z53" s="136"/>
      <c r="AA53" s="136"/>
      <c r="AB53" s="136"/>
    </row>
    <row r="54" spans="1:28" hidden="1">
      <c r="B54" s="139" t="s">
        <v>369</v>
      </c>
      <c r="C54" s="83"/>
      <c r="D54" s="83"/>
      <c r="E54" s="136"/>
      <c r="F54" s="136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136"/>
      <c r="X54" s="136"/>
      <c r="Y54" s="136"/>
      <c r="Z54" s="136"/>
      <c r="AA54" s="136"/>
      <c r="AB54" s="136"/>
    </row>
    <row r="55" spans="1:28" hidden="1">
      <c r="B55" s="139" t="s">
        <v>370</v>
      </c>
      <c r="C55" s="83"/>
      <c r="D55" s="83"/>
      <c r="E55" s="136"/>
      <c r="F55" s="136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136"/>
      <c r="X55" s="136"/>
      <c r="Y55" s="136"/>
      <c r="Z55" s="136"/>
      <c r="AA55" s="136"/>
      <c r="AB55" s="136"/>
    </row>
    <row r="56" spans="1:28">
      <c r="B56" s="139" t="s">
        <v>649</v>
      </c>
      <c r="C56" s="83"/>
      <c r="D56" s="137"/>
      <c r="E56" s="136"/>
      <c r="F56" s="136"/>
      <c r="G56" s="136"/>
      <c r="H56" s="136">
        <f>-H81</f>
        <v>-24227.532923753999</v>
      </c>
      <c r="I56" s="136">
        <f t="shared" ref="I56:AA56" si="18">-I81</f>
        <v>-25605.078975</v>
      </c>
      <c r="J56" s="136">
        <f t="shared" si="18"/>
        <v>0</v>
      </c>
      <c r="K56" s="136">
        <f t="shared" si="18"/>
        <v>-6800</v>
      </c>
      <c r="L56" s="136">
        <f t="shared" si="18"/>
        <v>-1800</v>
      </c>
      <c r="M56" s="136">
        <f t="shared" si="18"/>
        <v>-12000</v>
      </c>
      <c r="N56" s="136">
        <f t="shared" si="18"/>
        <v>-16800</v>
      </c>
      <c r="O56" s="136">
        <f t="shared" si="18"/>
        <v>-13876.8</v>
      </c>
      <c r="P56" s="136">
        <f t="shared" si="18"/>
        <v>-9000</v>
      </c>
      <c r="Q56" s="136">
        <f t="shared" si="18"/>
        <v>-17320.8</v>
      </c>
      <c r="R56" s="136">
        <f t="shared" si="18"/>
        <v>-24000</v>
      </c>
      <c r="S56" s="136">
        <f t="shared" si="18"/>
        <v>-60786.705815866007</v>
      </c>
      <c r="T56" s="136">
        <f t="shared" si="18"/>
        <v>0</v>
      </c>
      <c r="U56" s="136">
        <f t="shared" si="18"/>
        <v>0</v>
      </c>
      <c r="V56" s="136">
        <f t="shared" si="18"/>
        <v>0</v>
      </c>
      <c r="W56" s="136">
        <f t="shared" si="18"/>
        <v>0</v>
      </c>
      <c r="X56" s="136">
        <f t="shared" si="18"/>
        <v>0</v>
      </c>
      <c r="Y56" s="136">
        <f t="shared" si="18"/>
        <v>0</v>
      </c>
      <c r="Z56" s="136">
        <f t="shared" si="18"/>
        <v>0</v>
      </c>
      <c r="AA56" s="136">
        <f t="shared" si="18"/>
        <v>0</v>
      </c>
      <c r="AB56" s="136"/>
    </row>
    <row r="57" spans="1:28">
      <c r="B57" s="405" t="s">
        <v>779</v>
      </c>
      <c r="C57" s="83"/>
      <c r="D57" s="137"/>
      <c r="E57" s="136"/>
      <c r="F57" s="136"/>
      <c r="G57" s="136"/>
      <c r="H57" s="136">
        <f>-H82</f>
        <v>-24099.164124999999</v>
      </c>
      <c r="I57" s="136">
        <f t="shared" ref="I57:S57" si="19">-I82</f>
        <v>-25605.078975</v>
      </c>
      <c r="J57" s="136">
        <f t="shared" si="19"/>
        <v>0</v>
      </c>
      <c r="K57" s="136">
        <f t="shared" si="19"/>
        <v>-6000</v>
      </c>
      <c r="L57" s="136">
        <f t="shared" si="19"/>
        <v>-1500</v>
      </c>
      <c r="M57" s="136">
        <f t="shared" si="19"/>
        <v>-10000</v>
      </c>
      <c r="N57" s="136">
        <f t="shared" si="19"/>
        <v>-14000</v>
      </c>
      <c r="O57" s="136">
        <f t="shared" si="19"/>
        <v>-11564</v>
      </c>
      <c r="P57" s="136">
        <f t="shared" si="19"/>
        <v>-7500</v>
      </c>
      <c r="Q57" s="136">
        <f t="shared" si="19"/>
        <v>-14434</v>
      </c>
      <c r="R57" s="136">
        <f t="shared" si="19"/>
        <v>-20000</v>
      </c>
      <c r="S57" s="136">
        <f t="shared" si="19"/>
        <v>-13882.073155000002</v>
      </c>
      <c r="T57" s="136"/>
      <c r="U57" s="136"/>
      <c r="V57" s="136"/>
      <c r="W57" s="136"/>
      <c r="X57" s="136"/>
      <c r="Y57" s="136"/>
      <c r="Z57" s="136"/>
      <c r="AA57" s="136"/>
      <c r="AB57" s="136"/>
    </row>
    <row r="58" spans="1:28">
      <c r="B58" s="405" t="s">
        <v>780</v>
      </c>
      <c r="C58" s="83"/>
      <c r="D58" s="137"/>
      <c r="E58" s="136"/>
      <c r="F58" s="136"/>
      <c r="G58" s="136"/>
      <c r="H58" s="136">
        <f>-H83</f>
        <v>-128.36879875400001</v>
      </c>
      <c r="I58" s="136">
        <f t="shared" ref="I58:S58" si="20">-I83</f>
        <v>0</v>
      </c>
      <c r="J58" s="136">
        <f t="shared" si="20"/>
        <v>0</v>
      </c>
      <c r="K58" s="136">
        <f t="shared" si="20"/>
        <v>-800</v>
      </c>
      <c r="L58" s="136">
        <f t="shared" si="20"/>
        <v>-300</v>
      </c>
      <c r="M58" s="136">
        <f t="shared" si="20"/>
        <v>-2000</v>
      </c>
      <c r="N58" s="136">
        <f t="shared" si="20"/>
        <v>-2800</v>
      </c>
      <c r="O58" s="136">
        <f t="shared" si="20"/>
        <v>-2312.8000000000002</v>
      </c>
      <c r="P58" s="136">
        <f t="shared" si="20"/>
        <v>-1500</v>
      </c>
      <c r="Q58" s="136">
        <f t="shared" si="20"/>
        <v>-2886.8</v>
      </c>
      <c r="R58" s="136">
        <f t="shared" si="20"/>
        <v>-4000</v>
      </c>
      <c r="S58" s="136">
        <f t="shared" si="20"/>
        <v>-46904.632660866009</v>
      </c>
      <c r="T58" s="136"/>
      <c r="U58" s="136"/>
      <c r="V58" s="136"/>
      <c r="W58" s="136"/>
      <c r="X58" s="136"/>
      <c r="Y58" s="136"/>
      <c r="Z58" s="136"/>
      <c r="AA58" s="136"/>
      <c r="AB58" s="136"/>
    </row>
    <row r="59" spans="1:28">
      <c r="A59" t="s">
        <v>175</v>
      </c>
      <c r="B59" s="139" t="s">
        <v>648</v>
      </c>
      <c r="C59" s="83"/>
      <c r="D59" s="83"/>
      <c r="E59" s="136">
        <f>+E51+E56</f>
        <v>0</v>
      </c>
      <c r="F59" s="136">
        <f>+F51+F56</f>
        <v>0</v>
      </c>
      <c r="G59" s="136">
        <f>+G51+G56+G52+G53+G54+G55</f>
        <v>0</v>
      </c>
      <c r="H59" s="136">
        <f t="shared" ref="H59:AA59" si="21">+H51+H56</f>
        <v>-27227.532923753999</v>
      </c>
      <c r="I59" s="136">
        <f t="shared" si="21"/>
        <v>-26011.078975</v>
      </c>
      <c r="J59" s="136">
        <f t="shared" si="21"/>
        <v>-406</v>
      </c>
      <c r="K59" s="136">
        <f t="shared" si="21"/>
        <v>-7206</v>
      </c>
      <c r="L59" s="136">
        <f t="shared" si="21"/>
        <v>-2206</v>
      </c>
      <c r="M59" s="136">
        <f t="shared" si="21"/>
        <v>-12406</v>
      </c>
      <c r="N59" s="136">
        <f t="shared" si="21"/>
        <v>-17206</v>
      </c>
      <c r="O59" s="136">
        <f t="shared" si="21"/>
        <v>-14282.8</v>
      </c>
      <c r="P59" s="136">
        <f t="shared" si="21"/>
        <v>-9406</v>
      </c>
      <c r="Q59" s="136">
        <f t="shared" si="21"/>
        <v>-17726.8</v>
      </c>
      <c r="R59" s="136">
        <f t="shared" si="21"/>
        <v>-24406</v>
      </c>
      <c r="S59" s="136">
        <f t="shared" si="21"/>
        <v>-62410.705815866007</v>
      </c>
      <c r="T59" s="136">
        <f t="shared" si="21"/>
        <v>0</v>
      </c>
      <c r="U59" s="136">
        <f t="shared" si="21"/>
        <v>0</v>
      </c>
      <c r="V59" s="136">
        <f t="shared" si="21"/>
        <v>0</v>
      </c>
      <c r="W59" s="136">
        <f t="shared" si="21"/>
        <v>0</v>
      </c>
      <c r="X59" s="136">
        <f t="shared" si="21"/>
        <v>0</v>
      </c>
      <c r="Y59" s="136">
        <f t="shared" si="21"/>
        <v>0</v>
      </c>
      <c r="Z59" s="136">
        <f t="shared" si="21"/>
        <v>0</v>
      </c>
      <c r="AA59" s="136">
        <f t="shared" si="21"/>
        <v>0</v>
      </c>
      <c r="AB59" s="136"/>
    </row>
    <row r="60" spans="1:28">
      <c r="A60" t="s">
        <v>176</v>
      </c>
      <c r="B60" s="141" t="s">
        <v>174</v>
      </c>
      <c r="C60" s="84"/>
      <c r="D60" s="84"/>
      <c r="E60" s="135">
        <f>+E59</f>
        <v>0</v>
      </c>
      <c r="F60" s="135">
        <f>+E60+F59</f>
        <v>0</v>
      </c>
      <c r="G60" s="135">
        <f t="shared" ref="G60:AA60" si="22">+F60+G59</f>
        <v>0</v>
      </c>
      <c r="H60" s="135">
        <f t="shared" si="22"/>
        <v>-27227.532923753999</v>
      </c>
      <c r="I60" s="135">
        <f t="shared" si="22"/>
        <v>-53238.611898753996</v>
      </c>
      <c r="J60" s="135">
        <f t="shared" si="22"/>
        <v>-53644.611898753996</v>
      </c>
      <c r="K60" s="135">
        <f t="shared" si="22"/>
        <v>-60850.611898753996</v>
      </c>
      <c r="L60" s="135">
        <f t="shared" si="22"/>
        <v>-63056.611898753996</v>
      </c>
      <c r="M60" s="135">
        <f t="shared" si="22"/>
        <v>-75462.611898753996</v>
      </c>
      <c r="N60" s="135">
        <f t="shared" si="22"/>
        <v>-92668.611898753996</v>
      </c>
      <c r="O60" s="135">
        <f t="shared" si="22"/>
        <v>-106951.411898754</v>
      </c>
      <c r="P60" s="135">
        <f t="shared" si="22"/>
        <v>-116357.411898754</v>
      </c>
      <c r="Q60" s="135">
        <f t="shared" si="22"/>
        <v>-134084.211898754</v>
      </c>
      <c r="R60" s="135">
        <f t="shared" si="22"/>
        <v>-158490.211898754</v>
      </c>
      <c r="S60" s="135">
        <f t="shared" si="22"/>
        <v>-220900.91771462001</v>
      </c>
      <c r="T60" s="135">
        <f t="shared" si="22"/>
        <v>-220900.91771462001</v>
      </c>
      <c r="U60" s="135">
        <f t="shared" si="22"/>
        <v>-220900.91771462001</v>
      </c>
      <c r="V60" s="135">
        <f t="shared" si="22"/>
        <v>-220900.91771462001</v>
      </c>
      <c r="W60" s="135">
        <f t="shared" si="22"/>
        <v>-220900.91771462001</v>
      </c>
      <c r="X60" s="135">
        <f t="shared" si="22"/>
        <v>-220900.91771462001</v>
      </c>
      <c r="Y60" s="135">
        <f t="shared" si="22"/>
        <v>-220900.91771462001</v>
      </c>
      <c r="Z60" s="135">
        <f t="shared" si="22"/>
        <v>-220900.91771462001</v>
      </c>
      <c r="AA60" s="135">
        <f t="shared" si="22"/>
        <v>-220900.91771462001</v>
      </c>
      <c r="AB60" s="135"/>
    </row>
    <row r="61" spans="1:28">
      <c r="B61" s="139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>
      <c r="B62" s="139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>
      <c r="A63" t="s">
        <v>178</v>
      </c>
      <c r="B63" s="143" t="s">
        <v>177</v>
      </c>
      <c r="C63" s="145"/>
      <c r="D63" s="145"/>
      <c r="E63" s="146">
        <f t="shared" ref="E63:AA63" si="23">+E47+E59</f>
        <v>0</v>
      </c>
      <c r="F63" s="146">
        <f t="shared" si="23"/>
        <v>0</v>
      </c>
      <c r="G63" s="146">
        <f t="shared" si="23"/>
        <v>-2989.4121708044381</v>
      </c>
      <c r="H63" s="146">
        <f t="shared" si="23"/>
        <v>2502.4910222584222</v>
      </c>
      <c r="I63" s="146">
        <f t="shared" si="23"/>
        <v>-1000.7956040014942</v>
      </c>
      <c r="J63" s="146">
        <f t="shared" si="23"/>
        <v>-175.15413253158931</v>
      </c>
      <c r="K63" s="146">
        <f t="shared" si="23"/>
        <v>-575.74862661984935</v>
      </c>
      <c r="L63" s="146">
        <f t="shared" si="23"/>
        <v>-250.28487788320581</v>
      </c>
      <c r="M63" s="146">
        <f t="shared" si="23"/>
        <v>2507.0127726943902</v>
      </c>
      <c r="N63" s="146">
        <f t="shared" si="23"/>
        <v>704.00483544091549</v>
      </c>
      <c r="O63" s="146">
        <f t="shared" si="23"/>
        <v>-1750.4909249674311</v>
      </c>
      <c r="P63" s="146">
        <f t="shared" si="23"/>
        <v>4691.319016038824</v>
      </c>
      <c r="Q63" s="146">
        <f t="shared" si="23"/>
        <v>-390.22407777003536</v>
      </c>
      <c r="R63" s="146">
        <f t="shared" si="23"/>
        <v>2449.9677248753651</v>
      </c>
      <c r="S63" s="146">
        <f t="shared" si="23"/>
        <v>-8304.01740816245</v>
      </c>
      <c r="T63" s="146">
        <f t="shared" si="23"/>
        <v>28533.308034932681</v>
      </c>
      <c r="U63" s="146">
        <f t="shared" si="23"/>
        <v>24117.299701517648</v>
      </c>
      <c r="V63" s="146">
        <f t="shared" si="23"/>
        <v>18434.640165139717</v>
      </c>
      <c r="W63" s="146">
        <f t="shared" si="23"/>
        <v>24576.102637077223</v>
      </c>
      <c r="X63" s="146">
        <f t="shared" si="23"/>
        <v>28540.994115840171</v>
      </c>
      <c r="Y63" s="146">
        <f t="shared" si="23"/>
        <v>34616.410255013659</v>
      </c>
      <c r="Z63" s="146">
        <f t="shared" si="23"/>
        <v>37377.317491522554</v>
      </c>
      <c r="AA63" s="146">
        <f t="shared" si="23"/>
        <v>34058.436600359586</v>
      </c>
      <c r="AB63" s="2"/>
    </row>
    <row r="64" spans="1:28" s="220" customFormat="1">
      <c r="A64" s="220" t="s">
        <v>179</v>
      </c>
      <c r="B64" s="221" t="s">
        <v>781</v>
      </c>
      <c r="C64" s="222"/>
      <c r="D64" s="222"/>
      <c r="E64" s="223">
        <f>+E48+E60</f>
        <v>0</v>
      </c>
      <c r="F64" s="223">
        <v>819.84799999999996</v>
      </c>
      <c r="G64" s="223">
        <v>0</v>
      </c>
      <c r="H64" s="223">
        <f t="shared" ref="H64:AA64" si="24">+G64+H63</f>
        <v>2502.4910222584222</v>
      </c>
      <c r="I64" s="223">
        <f t="shared" si="24"/>
        <v>1501.695418256928</v>
      </c>
      <c r="J64" s="223">
        <f t="shared" si="24"/>
        <v>1326.5412857253386</v>
      </c>
      <c r="K64" s="223">
        <f t="shared" si="24"/>
        <v>750.79265910548929</v>
      </c>
      <c r="L64" s="223">
        <f t="shared" si="24"/>
        <v>500.50778122228348</v>
      </c>
      <c r="M64" s="223">
        <f t="shared" si="24"/>
        <v>3007.5205539166736</v>
      </c>
      <c r="N64" s="223">
        <f t="shared" si="24"/>
        <v>3711.5253893575891</v>
      </c>
      <c r="O64" s="223">
        <f t="shared" si="24"/>
        <v>1961.0344643901581</v>
      </c>
      <c r="P64" s="223">
        <f t="shared" si="24"/>
        <v>6652.353480428982</v>
      </c>
      <c r="Q64" s="223">
        <f t="shared" si="24"/>
        <v>6262.1294026589467</v>
      </c>
      <c r="R64" s="223">
        <f t="shared" si="24"/>
        <v>8712.0971275343109</v>
      </c>
      <c r="S64" s="223">
        <f t="shared" si="24"/>
        <v>408.07971937186085</v>
      </c>
      <c r="T64" s="223">
        <f t="shared" si="24"/>
        <v>28941.387754304542</v>
      </c>
      <c r="U64" s="223">
        <f t="shared" si="24"/>
        <v>53058.68745582219</v>
      </c>
      <c r="V64" s="223">
        <f t="shared" si="24"/>
        <v>71493.327620961907</v>
      </c>
      <c r="W64" s="223">
        <f t="shared" si="24"/>
        <v>96069.430258039123</v>
      </c>
      <c r="X64" s="223">
        <f t="shared" si="24"/>
        <v>124610.4243738793</v>
      </c>
      <c r="Y64" s="223">
        <f t="shared" si="24"/>
        <v>159226.83462889295</v>
      </c>
      <c r="Z64" s="223">
        <f t="shared" si="24"/>
        <v>196604.1521204155</v>
      </c>
      <c r="AA64" s="223">
        <f t="shared" si="24"/>
        <v>230662.58872077509</v>
      </c>
      <c r="AB64" s="81"/>
    </row>
    <row r="65" spans="1:132" s="169" customFormat="1">
      <c r="B65" s="204"/>
      <c r="C65" s="148"/>
      <c r="D65" s="148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64"/>
    </row>
    <row r="66" spans="1:132">
      <c r="B66" s="20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132" ht="17" thickBot="1">
      <c r="B67" s="14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132" s="294" customFormat="1" ht="6" customHeight="1" thickTop="1" thickBot="1">
      <c r="B68" s="354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355"/>
      <c r="X68" s="355"/>
      <c r="Y68" s="355"/>
      <c r="Z68" s="355"/>
      <c r="AA68" s="355"/>
      <c r="AB68" s="355"/>
    </row>
    <row r="69" spans="1:132" s="294" customFormat="1" ht="6" customHeight="1" thickTop="1" thickBot="1">
      <c r="B69" s="354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  <c r="S69" s="355"/>
      <c r="T69" s="355"/>
      <c r="U69" s="355"/>
      <c r="V69" s="355"/>
      <c r="W69" s="355"/>
      <c r="X69" s="355"/>
      <c r="Y69" s="355"/>
      <c r="Z69" s="355"/>
      <c r="AA69" s="355"/>
      <c r="AB69" s="355"/>
    </row>
    <row r="70" spans="1:132" s="83" customFormat="1" ht="16" customHeight="1" thickTop="1">
      <c r="B70" s="148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</row>
    <row r="71" spans="1:132" s="83" customFormat="1" ht="16" customHeight="1">
      <c r="B71" s="148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</row>
    <row r="72" spans="1:132" s="83" customFormat="1" ht="16" customHeight="1">
      <c r="B72" s="148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</row>
    <row r="73" spans="1:132" s="83" customFormat="1" ht="16" customHeight="1">
      <c r="B73" s="148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</row>
    <row r="74" spans="1:132">
      <c r="D74" s="2" t="s">
        <v>323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132">
      <c r="B75" t="s">
        <v>294</v>
      </c>
      <c r="C75" s="13">
        <f>+Proyecciones!G6</f>
        <v>0.04</v>
      </c>
      <c r="D75" s="80">
        <f>+Proyecciones!C10</f>
        <v>4.2000000000000003E-2</v>
      </c>
      <c r="E75" s="2"/>
      <c r="F75" s="155"/>
      <c r="G75" s="15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</row>
    <row r="76" spans="1:132">
      <c r="B76" t="s">
        <v>641</v>
      </c>
      <c r="C76" s="13"/>
      <c r="D76" s="80"/>
      <c r="E76" s="80">
        <f>+F76</f>
        <v>4.2000000000000003E-2</v>
      </c>
      <c r="F76" s="80">
        <f>+G76</f>
        <v>4.2000000000000003E-2</v>
      </c>
      <c r="G76" s="80">
        <f>+Proyecciones!G7</f>
        <v>4.2000000000000003E-2</v>
      </c>
      <c r="H76" s="80">
        <f>+Proyecciones!H7</f>
        <v>4.2000000000000003E-2</v>
      </c>
      <c r="I76" s="80">
        <f>+Proyecciones!I7</f>
        <v>4.2000000000000003E-2</v>
      </c>
      <c r="J76" s="80">
        <f>+Proyecciones!J7</f>
        <v>4.2000000000000003E-2</v>
      </c>
      <c r="K76" s="80">
        <f>+Proyecciones!K7</f>
        <v>4.2000000000000003E-2</v>
      </c>
      <c r="L76" s="80">
        <f>+Proyecciones!L7</f>
        <v>4.2000000000000003E-2</v>
      </c>
      <c r="M76" s="80">
        <f>+Proyecciones!M7</f>
        <v>5.1999999999999998E-2</v>
      </c>
      <c r="N76" s="80">
        <f>+Proyecciones!N7</f>
        <v>5.1999999999999998E-2</v>
      </c>
      <c r="O76" s="80">
        <f>+Proyecciones!O7</f>
        <v>6.2E-2</v>
      </c>
      <c r="P76" s="80">
        <f>+Proyecciones!P7</f>
        <v>6.2E-2</v>
      </c>
      <c r="Q76" s="80">
        <f>+Proyecciones!Q7</f>
        <v>6.2E-2</v>
      </c>
      <c r="R76" s="80">
        <f>+Proyecciones!R7</f>
        <v>6.2E-2</v>
      </c>
      <c r="S76" s="80">
        <f>+Proyecciones!S7</f>
        <v>6.2E-2</v>
      </c>
      <c r="T76" s="80">
        <f>+Proyecciones!T7</f>
        <v>6.2E-2</v>
      </c>
      <c r="U76" s="80">
        <f>+Proyecciones!U7</f>
        <v>6.2E-2</v>
      </c>
      <c r="V76" s="80">
        <f>+Proyecciones!V7</f>
        <v>6.2E-2</v>
      </c>
      <c r="W76" s="80">
        <f>+Proyecciones!W7</f>
        <v>6.2E-2</v>
      </c>
      <c r="X76" s="80">
        <f>+Proyecciones!X7</f>
        <v>6.2E-2</v>
      </c>
      <c r="Y76" s="80">
        <f>+Proyecciones!Y7</f>
        <v>6.2E-2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</row>
    <row r="77" spans="1:132">
      <c r="D77" s="2"/>
      <c r="E77" s="2"/>
      <c r="F77" s="155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2"/>
      <c r="T77" s="2"/>
      <c r="U77" s="2"/>
      <c r="V77" s="2"/>
      <c r="W77" s="2"/>
      <c r="X77" s="2"/>
      <c r="Y77" s="2"/>
      <c r="Z77" s="2"/>
      <c r="AA77" s="2"/>
    </row>
    <row r="78" spans="1:132">
      <c r="A78" t="s">
        <v>627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13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132">
      <c r="B80" t="s">
        <v>186</v>
      </c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</row>
    <row r="81" spans="1:27">
      <c r="B81" t="s">
        <v>187</v>
      </c>
      <c r="D81" s="2"/>
      <c r="E81" s="59"/>
      <c r="G81" s="369">
        <f>-C108-C110-C112-C114</f>
        <v>-146584.31625500001</v>
      </c>
      <c r="H81" s="2">
        <f>+H82+H83</f>
        <v>24227.532923753999</v>
      </c>
      <c r="I81" s="2">
        <f t="shared" ref="I81:AA81" si="25">+I82+I83</f>
        <v>25605.078975</v>
      </c>
      <c r="J81" s="2">
        <f t="shared" si="25"/>
        <v>0</v>
      </c>
      <c r="K81" s="2">
        <f t="shared" si="25"/>
        <v>6800</v>
      </c>
      <c r="L81" s="2">
        <f t="shared" si="25"/>
        <v>1800</v>
      </c>
      <c r="M81" s="2">
        <f t="shared" si="25"/>
        <v>12000</v>
      </c>
      <c r="N81" s="2">
        <f t="shared" si="25"/>
        <v>16800</v>
      </c>
      <c r="O81" s="2">
        <f t="shared" si="25"/>
        <v>13876.8</v>
      </c>
      <c r="P81" s="2">
        <f t="shared" si="25"/>
        <v>9000</v>
      </c>
      <c r="Q81" s="2">
        <f t="shared" si="25"/>
        <v>17320.8</v>
      </c>
      <c r="R81" s="2">
        <f t="shared" si="25"/>
        <v>24000</v>
      </c>
      <c r="S81" s="2">
        <f t="shared" si="25"/>
        <v>60786.705815866007</v>
      </c>
      <c r="T81" s="2">
        <f t="shared" si="25"/>
        <v>0</v>
      </c>
      <c r="U81" s="2">
        <f t="shared" si="25"/>
        <v>0</v>
      </c>
      <c r="V81" s="2">
        <f t="shared" si="25"/>
        <v>0</v>
      </c>
      <c r="W81" s="2">
        <f t="shared" si="25"/>
        <v>0</v>
      </c>
      <c r="X81" s="2">
        <f t="shared" si="25"/>
        <v>0</v>
      </c>
      <c r="Y81" s="2">
        <f t="shared" si="25"/>
        <v>0</v>
      </c>
      <c r="Z81" s="2">
        <f t="shared" si="25"/>
        <v>0</v>
      </c>
      <c r="AA81" s="2">
        <f t="shared" si="25"/>
        <v>0</v>
      </c>
    </row>
    <row r="82" spans="1:27">
      <c r="B82" t="s">
        <v>188</v>
      </c>
      <c r="D82" s="2"/>
      <c r="E82" s="2"/>
      <c r="F82" s="2"/>
      <c r="G82" s="2"/>
      <c r="H82" s="2">
        <f t="shared" ref="H82:AA82" si="26">+H84+H86+H88+H90-H52-H53</f>
        <v>24099.164124999999</v>
      </c>
      <c r="I82" s="2">
        <f t="shared" si="26"/>
        <v>25605.078975</v>
      </c>
      <c r="J82" s="2">
        <f t="shared" si="26"/>
        <v>0</v>
      </c>
      <c r="K82" s="2">
        <f t="shared" si="26"/>
        <v>6000</v>
      </c>
      <c r="L82" s="2">
        <f t="shared" si="26"/>
        <v>1500</v>
      </c>
      <c r="M82" s="2">
        <f t="shared" si="26"/>
        <v>10000</v>
      </c>
      <c r="N82" s="2">
        <f t="shared" si="26"/>
        <v>14000</v>
      </c>
      <c r="O82" s="2">
        <f t="shared" si="26"/>
        <v>11564</v>
      </c>
      <c r="P82" s="2">
        <f t="shared" si="26"/>
        <v>7500</v>
      </c>
      <c r="Q82" s="2">
        <f t="shared" si="26"/>
        <v>14434</v>
      </c>
      <c r="R82" s="2">
        <f t="shared" si="26"/>
        <v>20000</v>
      </c>
      <c r="S82" s="2">
        <f t="shared" si="26"/>
        <v>13882.073155000002</v>
      </c>
      <c r="T82" s="2">
        <f t="shared" si="26"/>
        <v>0</v>
      </c>
      <c r="U82" s="2">
        <f t="shared" si="26"/>
        <v>0</v>
      </c>
      <c r="V82" s="2">
        <f t="shared" si="26"/>
        <v>0</v>
      </c>
      <c r="W82" s="2">
        <f t="shared" si="26"/>
        <v>0</v>
      </c>
      <c r="X82" s="2">
        <f t="shared" si="26"/>
        <v>0</v>
      </c>
      <c r="Y82" s="2">
        <f t="shared" si="26"/>
        <v>0</v>
      </c>
      <c r="Z82" s="2">
        <f t="shared" si="26"/>
        <v>0</v>
      </c>
      <c r="AA82" s="2">
        <f t="shared" si="26"/>
        <v>0</v>
      </c>
    </row>
    <row r="83" spans="1:27">
      <c r="B83" t="s">
        <v>293</v>
      </c>
      <c r="D83" s="2"/>
      <c r="E83" s="2"/>
      <c r="F83" s="2"/>
      <c r="G83" s="2"/>
      <c r="H83" s="2">
        <f>+H85+H87+H89+H91-H54-H55</f>
        <v>128.36879875400001</v>
      </c>
      <c r="I83" s="2">
        <f t="shared" ref="I83:AA83" si="27">+I85+I87+I89+I91</f>
        <v>0</v>
      </c>
      <c r="J83" s="2">
        <f t="shared" si="27"/>
        <v>0</v>
      </c>
      <c r="K83" s="2">
        <f t="shared" si="27"/>
        <v>800</v>
      </c>
      <c r="L83" s="2">
        <f t="shared" si="27"/>
        <v>300</v>
      </c>
      <c r="M83" s="2">
        <f t="shared" si="27"/>
        <v>2000</v>
      </c>
      <c r="N83" s="2">
        <f t="shared" si="27"/>
        <v>2800</v>
      </c>
      <c r="O83" s="2">
        <f t="shared" si="27"/>
        <v>2312.8000000000002</v>
      </c>
      <c r="P83" s="2">
        <f t="shared" si="27"/>
        <v>1500</v>
      </c>
      <c r="Q83" s="2">
        <f t="shared" si="27"/>
        <v>2886.8</v>
      </c>
      <c r="R83" s="2">
        <f t="shared" si="27"/>
        <v>4000</v>
      </c>
      <c r="S83" s="2">
        <f t="shared" si="27"/>
        <v>46904.632660866009</v>
      </c>
      <c r="T83" s="2">
        <f t="shared" si="27"/>
        <v>0</v>
      </c>
      <c r="U83" s="2">
        <f t="shared" si="27"/>
        <v>0</v>
      </c>
      <c r="V83" s="2">
        <f t="shared" si="27"/>
        <v>0</v>
      </c>
      <c r="W83" s="2">
        <f t="shared" si="27"/>
        <v>0</v>
      </c>
      <c r="X83" s="2">
        <f t="shared" si="27"/>
        <v>0</v>
      </c>
      <c r="Y83" s="2">
        <f t="shared" si="27"/>
        <v>0</v>
      </c>
      <c r="Z83" s="2">
        <f t="shared" si="27"/>
        <v>0</v>
      </c>
      <c r="AA83" s="2">
        <f t="shared" si="27"/>
        <v>0</v>
      </c>
    </row>
    <row r="84" spans="1:27">
      <c r="B84" t="s">
        <v>286</v>
      </c>
      <c r="H84" s="38">
        <f>+G108</f>
        <v>965.17893800000002</v>
      </c>
    </row>
    <row r="85" spans="1:27">
      <c r="B85" t="s">
        <v>287</v>
      </c>
      <c r="H85" s="38">
        <f>+G109+G108*H76</f>
        <v>128.36879875400001</v>
      </c>
      <c r="Z85" s="38"/>
    </row>
    <row r="86" spans="1:27">
      <c r="A86" s="38"/>
      <c r="B86" t="s">
        <v>525</v>
      </c>
      <c r="H86" s="152">
        <v>23133.985186999998</v>
      </c>
      <c r="I86" s="152">
        <v>25605.078975</v>
      </c>
      <c r="J86" s="152"/>
      <c r="K86" s="152">
        <v>4000</v>
      </c>
      <c r="L86" s="152">
        <v>1500</v>
      </c>
      <c r="M86" s="152">
        <v>10000</v>
      </c>
      <c r="N86" s="152">
        <v>14000</v>
      </c>
      <c r="O86" s="152">
        <f>5782*2</f>
        <v>11564</v>
      </c>
      <c r="P86" s="152">
        <f>+O110</f>
        <v>2037.5765953189839</v>
      </c>
      <c r="Q86" s="152"/>
      <c r="R86" s="152"/>
      <c r="S86" s="152"/>
      <c r="T86" s="152"/>
      <c r="U86" s="152"/>
      <c r="V86" s="152"/>
      <c r="Z86" s="38">
        <f>-Y110</f>
        <v>0</v>
      </c>
    </row>
    <row r="87" spans="1:27">
      <c r="A87" s="38"/>
      <c r="B87" t="s">
        <v>288</v>
      </c>
      <c r="H87" s="38"/>
      <c r="I87">
        <v>0</v>
      </c>
      <c r="K87">
        <f>+K86*Proyecciones!$E$33</f>
        <v>800</v>
      </c>
      <c r="L87">
        <f>+L86*Proyecciones!$E$33</f>
        <v>300</v>
      </c>
      <c r="M87">
        <f>+M86*Proyecciones!$E$33</f>
        <v>2000</v>
      </c>
      <c r="N87">
        <f>+N86*Proyecciones!$E$33</f>
        <v>2800</v>
      </c>
      <c r="O87">
        <f>+O86*Proyecciones!$E$33</f>
        <v>2312.8000000000002</v>
      </c>
      <c r="P87">
        <f>+P86*Proyecciones!$E$33</f>
        <v>407.51531906379682</v>
      </c>
      <c r="Q87" s="38"/>
      <c r="S87" s="38">
        <f>+R111</f>
        <v>19317.581976862115</v>
      </c>
      <c r="T87" s="38"/>
      <c r="U87" s="38"/>
      <c r="V87" s="38"/>
      <c r="W87" s="38"/>
      <c r="X87" s="38"/>
      <c r="Z87" s="38">
        <f>Y111</f>
        <v>0</v>
      </c>
    </row>
    <row r="88" spans="1:27">
      <c r="B88" t="s">
        <v>289</v>
      </c>
      <c r="H88" s="152">
        <v>0</v>
      </c>
      <c r="I88" s="82"/>
      <c r="J88" s="82"/>
      <c r="K88" s="82">
        <v>2000</v>
      </c>
      <c r="L88" s="82"/>
      <c r="M88" s="82"/>
      <c r="N88" s="82"/>
      <c r="O88" s="82"/>
      <c r="P88" s="152">
        <f>7500-P86</f>
        <v>5462.4234046810161</v>
      </c>
      <c r="Q88" s="152">
        <f>7217*2</f>
        <v>14434</v>
      </c>
      <c r="R88" s="152">
        <f>+Q112</f>
        <v>723.87092531898452</v>
      </c>
      <c r="S88" s="152"/>
      <c r="T88" s="152"/>
      <c r="U88" s="152"/>
      <c r="V88" s="152"/>
      <c r="W88" s="38"/>
      <c r="Z88" s="38">
        <f>Y112</f>
        <v>0</v>
      </c>
    </row>
    <row r="89" spans="1:27">
      <c r="B89" t="s">
        <v>290</v>
      </c>
      <c r="H89" s="38"/>
      <c r="O89">
        <f>+O88*Proyecciones!$E$33</f>
        <v>0</v>
      </c>
      <c r="P89">
        <f>+P88*Proyecciones!$E$33</f>
        <v>1092.4846809362032</v>
      </c>
      <c r="Q89">
        <f>+Q88*Proyecciones!$E$33</f>
        <v>2886.8</v>
      </c>
      <c r="R89">
        <f>+R88*Proyecciones!$E$33</f>
        <v>144.77418506379692</v>
      </c>
      <c r="S89" s="38">
        <f>+R113</f>
        <v>7768.7448293095531</v>
      </c>
      <c r="T89" s="38"/>
      <c r="U89" s="38"/>
      <c r="V89" s="38"/>
      <c r="W89" s="38"/>
      <c r="X89" s="38"/>
      <c r="Y89" s="38"/>
      <c r="Z89" s="38">
        <f>Y113</f>
        <v>0</v>
      </c>
    </row>
    <row r="90" spans="1:27">
      <c r="B90" t="s">
        <v>291</v>
      </c>
      <c r="H90" s="152"/>
      <c r="I90" s="82"/>
      <c r="J90" s="82"/>
      <c r="K90" s="82"/>
      <c r="L90" s="82"/>
      <c r="M90" s="82"/>
      <c r="N90" s="82"/>
      <c r="O90" s="82"/>
      <c r="P90" s="82"/>
      <c r="Q90" s="82">
        <v>0</v>
      </c>
      <c r="R90" s="152">
        <f>20000-R88</f>
        <v>19276.129074681015</v>
      </c>
      <c r="S90" s="152">
        <f>+R114</f>
        <v>13882.073155000002</v>
      </c>
      <c r="T90" s="152">
        <f>+S114</f>
        <v>0</v>
      </c>
      <c r="U90" s="152"/>
      <c r="V90" s="152"/>
      <c r="W90" s="38"/>
      <c r="X90" s="38"/>
      <c r="Y90" s="38"/>
      <c r="Z90" s="38">
        <f>Y114</f>
        <v>0</v>
      </c>
      <c r="AA90" s="38"/>
    </row>
    <row r="91" spans="1:27">
      <c r="B91" t="s">
        <v>292</v>
      </c>
      <c r="H91" s="38"/>
      <c r="Q91">
        <f>+Q90*Proyecciones!$E$33</f>
        <v>0</v>
      </c>
      <c r="R91">
        <f>+R90*Proyecciones!$E$33</f>
        <v>3855.2258149362033</v>
      </c>
      <c r="S91" s="38">
        <f>+S105-S87-S89</f>
        <v>19818.305854694343</v>
      </c>
      <c r="T91" s="38"/>
      <c r="U91" s="38"/>
      <c r="V91" s="38"/>
      <c r="W91" s="38"/>
      <c r="X91" s="38"/>
      <c r="Y91" s="38"/>
      <c r="Z91" s="38">
        <f>Y115</f>
        <v>0</v>
      </c>
      <c r="AA91" s="38"/>
    </row>
    <row r="92" spans="1:27">
      <c r="B92" t="s">
        <v>268</v>
      </c>
      <c r="G92" s="3">
        <f>+G82-G84</f>
        <v>0</v>
      </c>
      <c r="H92" s="3">
        <f t="shared" ref="H92:O92" si="28">+H86-H52-H53</f>
        <v>23133.985186999998</v>
      </c>
      <c r="I92" s="3">
        <f t="shared" si="28"/>
        <v>25605.078975</v>
      </c>
      <c r="J92" s="3">
        <f t="shared" si="28"/>
        <v>0</v>
      </c>
      <c r="K92" s="3">
        <f t="shared" si="28"/>
        <v>4000</v>
      </c>
      <c r="L92" s="3">
        <f t="shared" si="28"/>
        <v>1500</v>
      </c>
      <c r="M92" s="3">
        <f t="shared" si="28"/>
        <v>10000</v>
      </c>
      <c r="N92" s="3">
        <f t="shared" si="28"/>
        <v>14000</v>
      </c>
      <c r="O92" s="3">
        <f t="shared" si="28"/>
        <v>11564</v>
      </c>
      <c r="P92" s="3">
        <f>+P86-P52-P53+P90*Proyecciones!$C$98/Proyecciones!$C$100</f>
        <v>2037.5765953189839</v>
      </c>
      <c r="Q92" s="3">
        <f>+Q86-Q52-Q53+Q90*Proyecciones!$C$98/Proyecciones!$C$100</f>
        <v>0</v>
      </c>
      <c r="R92" s="3">
        <f>+R86-R52-R53+R90*Proyecciones!$C$98/Proyecciones!$C$100</f>
        <v>11856.359476246796</v>
      </c>
      <c r="S92" s="3">
        <f>+S86-S52-S53+S90*Proyecciones!$C$98/Proyecciones!$C$100</f>
        <v>8538.5841194342192</v>
      </c>
      <c r="T92" s="3">
        <f t="shared" ref="T92:AA92" si="29">+T86-T52-T53</f>
        <v>0</v>
      </c>
      <c r="U92" s="3">
        <f t="shared" si="29"/>
        <v>0</v>
      </c>
      <c r="V92" s="3">
        <f t="shared" si="29"/>
        <v>0</v>
      </c>
      <c r="W92" s="3">
        <f t="shared" si="29"/>
        <v>0</v>
      </c>
      <c r="X92" s="3">
        <f t="shared" si="29"/>
        <v>0</v>
      </c>
      <c r="Y92" s="3">
        <f t="shared" si="29"/>
        <v>0</v>
      </c>
      <c r="Z92" s="3">
        <f t="shared" si="29"/>
        <v>0</v>
      </c>
      <c r="AA92" s="3">
        <f t="shared" si="29"/>
        <v>0</v>
      </c>
    </row>
    <row r="93" spans="1:27">
      <c r="B93" t="s">
        <v>269</v>
      </c>
      <c r="G93" s="3">
        <f t="shared" ref="G93:T93" si="30">+G92+F93</f>
        <v>0</v>
      </c>
      <c r="H93" s="3">
        <f t="shared" si="30"/>
        <v>23133.985186999998</v>
      </c>
      <c r="I93" s="3">
        <f t="shared" si="30"/>
        <v>48739.064161999995</v>
      </c>
      <c r="J93" s="3">
        <f t="shared" si="30"/>
        <v>48739.064161999995</v>
      </c>
      <c r="K93" s="3">
        <f t="shared" si="30"/>
        <v>52739.064161999995</v>
      </c>
      <c r="L93" s="3">
        <f t="shared" si="30"/>
        <v>54239.064161999995</v>
      </c>
      <c r="M93" s="3">
        <f t="shared" si="30"/>
        <v>64239.064161999995</v>
      </c>
      <c r="N93" s="3">
        <f t="shared" si="30"/>
        <v>78239.064161999995</v>
      </c>
      <c r="O93" s="3">
        <f t="shared" si="30"/>
        <v>89803.064161999995</v>
      </c>
      <c r="P93" s="3">
        <f t="shared" si="30"/>
        <v>91840.640757318979</v>
      </c>
      <c r="Q93" s="3">
        <f t="shared" si="30"/>
        <v>91840.640757318979</v>
      </c>
      <c r="R93" s="3">
        <f t="shared" si="30"/>
        <v>103697.00023356578</v>
      </c>
      <c r="S93" s="3">
        <f t="shared" si="30"/>
        <v>112235.584353</v>
      </c>
      <c r="T93" s="3">
        <f t="shared" si="30"/>
        <v>112235.584353</v>
      </c>
    </row>
    <row r="94" spans="1:27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 t="str">
        <f>+IF(T93*1000000=Proyecciones!C96+Proyecciones!C98,"OK","MALO")</f>
        <v>OK</v>
      </c>
    </row>
    <row r="95" spans="1:27">
      <c r="B95" t="s">
        <v>418</v>
      </c>
      <c r="G95" s="3"/>
      <c r="H95" s="3">
        <f>+H99</f>
        <v>40363.349136388497</v>
      </c>
      <c r="I95" s="3">
        <f>+I99-H99</f>
        <v>34640.707915921506</v>
      </c>
      <c r="J95" s="3">
        <f>+J99-I99</f>
        <v>0</v>
      </c>
      <c r="K95" s="3">
        <f>+K99-J99</f>
        <v>14690.06528812999</v>
      </c>
      <c r="L95" s="3">
        <f>+L99-K99</f>
        <v>2912.4433333333291</v>
      </c>
      <c r="M95" s="3">
        <f>+M99-L99</f>
        <v>2591.8766666666634</v>
      </c>
      <c r="N95" s="3"/>
      <c r="O95" s="3"/>
      <c r="P95" s="3"/>
      <c r="Q95" s="3"/>
      <c r="R95" s="3"/>
      <c r="S95" s="3"/>
      <c r="T95" s="3"/>
    </row>
    <row r="96" spans="1:27">
      <c r="B96" t="s">
        <v>726</v>
      </c>
      <c r="G96" s="3"/>
      <c r="H96" s="3">
        <f>+H93</f>
        <v>23133.985186999998</v>
      </c>
      <c r="I96" s="3">
        <f>+I93-H93</f>
        <v>25605.078974999997</v>
      </c>
      <c r="J96" s="3">
        <f>+J93-I93</f>
        <v>0</v>
      </c>
      <c r="K96" s="3">
        <f>+K93-J93</f>
        <v>4000</v>
      </c>
      <c r="L96" s="3">
        <f>+L93-K93</f>
        <v>1500</v>
      </c>
      <c r="M96" s="3">
        <f>+M93-L93</f>
        <v>10000</v>
      </c>
      <c r="N96" s="3"/>
      <c r="O96" s="3"/>
      <c r="P96" s="3"/>
      <c r="Q96" s="3"/>
      <c r="R96" s="3"/>
      <c r="S96" s="3"/>
      <c r="T96" s="3"/>
    </row>
    <row r="97" spans="2:27">
      <c r="B97" t="s">
        <v>419</v>
      </c>
      <c r="G97" s="3"/>
      <c r="H97" s="55">
        <f t="shared" ref="H97:M97" si="31">+H96/H95</f>
        <v>0.57314335113347104</v>
      </c>
      <c r="I97" s="55">
        <f t="shared" si="31"/>
        <v>0.73916153899474535</v>
      </c>
      <c r="J97" s="55" t="e">
        <f t="shared" si="31"/>
        <v>#DIV/0!</v>
      </c>
      <c r="K97" s="55">
        <f t="shared" si="31"/>
        <v>0.27229286742735709</v>
      </c>
      <c r="L97" s="55">
        <f t="shared" si="31"/>
        <v>0.51503147986856468</v>
      </c>
      <c r="M97" s="55">
        <f t="shared" si="31"/>
        <v>3.8582082737990411</v>
      </c>
      <c r="N97" s="3"/>
      <c r="O97" s="3"/>
      <c r="P97" s="3"/>
      <c r="Q97" s="3"/>
      <c r="R97" s="3"/>
      <c r="S97" s="3"/>
      <c r="T97" s="3"/>
    </row>
    <row r="98" spans="2:27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7">
      <c r="B99" t="s">
        <v>727</v>
      </c>
      <c r="G99" s="3">
        <f>+G44</f>
        <v>0</v>
      </c>
      <c r="H99" s="3">
        <f t="shared" ref="H99:P99" si="32">+H44+G99</f>
        <v>40363.349136388497</v>
      </c>
      <c r="I99" s="3">
        <f t="shared" si="32"/>
        <v>75004.057052310003</v>
      </c>
      <c r="J99" s="3">
        <f t="shared" si="32"/>
        <v>75004.057052310003</v>
      </c>
      <c r="K99" s="3">
        <f t="shared" si="32"/>
        <v>89694.122340439993</v>
      </c>
      <c r="L99" s="3">
        <f t="shared" si="32"/>
        <v>92606.565673773322</v>
      </c>
      <c r="M99" s="3">
        <f t="shared" si="32"/>
        <v>95198.442340439986</v>
      </c>
      <c r="N99" s="3">
        <f t="shared" si="32"/>
        <v>98431.452340439981</v>
      </c>
      <c r="O99" s="3">
        <f t="shared" si="32"/>
        <v>98431.452340439981</v>
      </c>
      <c r="P99" s="3">
        <f t="shared" si="32"/>
        <v>98431.452340439981</v>
      </c>
    </row>
    <row r="100" spans="2:27">
      <c r="B100" t="s">
        <v>728</v>
      </c>
      <c r="H100" s="55">
        <f t="shared" ref="H100:M100" si="33">+H93/H99</f>
        <v>0.57314335113347104</v>
      </c>
      <c r="I100" s="55">
        <f t="shared" si="33"/>
        <v>0.64981903749563785</v>
      </c>
      <c r="J100" s="55">
        <f t="shared" si="33"/>
        <v>0.64981903749563785</v>
      </c>
      <c r="K100" s="55">
        <f t="shared" si="33"/>
        <v>0.58798796159491229</v>
      </c>
      <c r="L100" s="55">
        <f t="shared" si="33"/>
        <v>0.58569350636615591</v>
      </c>
      <c r="M100" s="55">
        <f t="shared" si="33"/>
        <v>0.67479112664757801</v>
      </c>
    </row>
    <row r="101" spans="2:27">
      <c r="B101" t="s">
        <v>729</v>
      </c>
      <c r="H101" s="206">
        <f t="shared" ref="H101:M101" si="34">+H99-H93</f>
        <v>17229.363949388498</v>
      </c>
      <c r="I101" s="206">
        <f t="shared" si="34"/>
        <v>26264.992890310008</v>
      </c>
      <c r="J101" s="206">
        <f t="shared" si="34"/>
        <v>26264.992890310008</v>
      </c>
      <c r="K101" s="206">
        <f t="shared" si="34"/>
        <v>36955.058178439998</v>
      </c>
      <c r="L101" s="206">
        <f t="shared" si="34"/>
        <v>38367.501511773327</v>
      </c>
      <c r="M101" s="206">
        <f t="shared" si="34"/>
        <v>30959.378178439991</v>
      </c>
    </row>
    <row r="102" spans="2:27">
      <c r="B102" t="s">
        <v>407</v>
      </c>
      <c r="G102" s="38">
        <f>+G103+G110</f>
        <v>112235.584353</v>
      </c>
      <c r="H102" s="38">
        <f t="shared" ref="H102:AA102" si="35">+H103+H110</f>
        <v>89101.599166</v>
      </c>
      <c r="I102" s="38">
        <f t="shared" si="35"/>
        <v>63496.520191000003</v>
      </c>
      <c r="J102" s="38">
        <f t="shared" si="35"/>
        <v>63496.520191000003</v>
      </c>
      <c r="K102" s="38">
        <f t="shared" si="35"/>
        <v>59496.520191000003</v>
      </c>
      <c r="L102" s="38">
        <f t="shared" si="35"/>
        <v>57996.520191000003</v>
      </c>
      <c r="M102" s="38">
        <f t="shared" si="35"/>
        <v>47996.520191000003</v>
      </c>
      <c r="N102" s="38">
        <f t="shared" si="35"/>
        <v>33996.520191000003</v>
      </c>
      <c r="O102" s="38">
        <f t="shared" si="35"/>
        <v>22432.520191</v>
      </c>
      <c r="P102" s="38">
        <f t="shared" si="35"/>
        <v>20394.943595681016</v>
      </c>
      <c r="Q102" s="38">
        <f t="shared" si="35"/>
        <v>20394.943595681016</v>
      </c>
      <c r="R102" s="38">
        <f t="shared" si="35"/>
        <v>8538.5841194342174</v>
      </c>
      <c r="S102" s="38">
        <f t="shared" si="35"/>
        <v>0</v>
      </c>
      <c r="T102" s="38">
        <f t="shared" si="35"/>
        <v>0</v>
      </c>
      <c r="U102" s="38">
        <f t="shared" si="35"/>
        <v>0</v>
      </c>
      <c r="V102" s="38">
        <f t="shared" si="35"/>
        <v>0</v>
      </c>
      <c r="W102" s="38">
        <f t="shared" si="35"/>
        <v>0</v>
      </c>
      <c r="X102" s="38">
        <f t="shared" si="35"/>
        <v>0</v>
      </c>
      <c r="Y102" s="38">
        <f t="shared" si="35"/>
        <v>0</v>
      </c>
      <c r="Z102" s="38">
        <f t="shared" si="35"/>
        <v>0</v>
      </c>
      <c r="AA102" s="38">
        <f t="shared" si="35"/>
        <v>0</v>
      </c>
    </row>
    <row r="103" spans="2:27">
      <c r="B103" t="s">
        <v>368</v>
      </c>
      <c r="D103" s="2">
        <f>+Proyecciones!C98/1000000</f>
        <v>20394.943595681016</v>
      </c>
      <c r="E103" s="2">
        <f>+D103</f>
        <v>20394.943595681016</v>
      </c>
      <c r="F103" s="2">
        <f>+E103</f>
        <v>20394.943595681016</v>
      </c>
      <c r="G103" s="2">
        <f>+F103</f>
        <v>20394.943595681016</v>
      </c>
      <c r="H103" s="206">
        <f>+G103+H53</f>
        <v>20394.943595681016</v>
      </c>
      <c r="I103" s="206">
        <f t="shared" ref="I103:W103" si="36">+H103+I53-I133</f>
        <v>20394.943595681016</v>
      </c>
      <c r="J103" s="206">
        <f t="shared" si="36"/>
        <v>20394.943595681016</v>
      </c>
      <c r="K103" s="206">
        <f t="shared" si="36"/>
        <v>20394.943595681016</v>
      </c>
      <c r="L103" s="206">
        <f t="shared" si="36"/>
        <v>20394.943595681016</v>
      </c>
      <c r="M103" s="206">
        <f t="shared" si="36"/>
        <v>20394.943595681016</v>
      </c>
      <c r="N103" s="206">
        <f t="shared" si="36"/>
        <v>20394.943595681016</v>
      </c>
      <c r="O103" s="206">
        <f t="shared" si="36"/>
        <v>20394.943595681016</v>
      </c>
      <c r="P103" s="206">
        <f t="shared" si="36"/>
        <v>20394.943595681016</v>
      </c>
      <c r="Q103" s="206">
        <f t="shared" si="36"/>
        <v>20394.943595681016</v>
      </c>
      <c r="R103" s="206">
        <f t="shared" si="36"/>
        <v>8538.5841194342174</v>
      </c>
      <c r="S103" s="206">
        <f t="shared" si="36"/>
        <v>0</v>
      </c>
      <c r="T103" s="206">
        <f t="shared" si="36"/>
        <v>0</v>
      </c>
      <c r="U103" s="206">
        <f t="shared" si="36"/>
        <v>0</v>
      </c>
      <c r="V103" s="206">
        <f t="shared" si="36"/>
        <v>0</v>
      </c>
      <c r="W103" s="206">
        <f t="shared" si="36"/>
        <v>0</v>
      </c>
    </row>
    <row r="104" spans="2:27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27">
      <c r="B105" t="s">
        <v>408</v>
      </c>
      <c r="H105" s="3"/>
      <c r="I105" s="3"/>
      <c r="J105" s="224"/>
      <c r="K105" s="3"/>
      <c r="L105" s="3"/>
      <c r="M105" s="3"/>
      <c r="S105" s="152">
        <f>+R111+R113+R115+R117*S76</f>
        <v>46904.632660866009</v>
      </c>
      <c r="T105" s="82">
        <v>0</v>
      </c>
      <c r="U105" s="152">
        <f>+T118</f>
        <v>0</v>
      </c>
      <c r="V105" s="152">
        <f>+U118</f>
        <v>0</v>
      </c>
      <c r="W105" s="152">
        <f>+T118-V105-U105</f>
        <v>0</v>
      </c>
      <c r="X105" s="82"/>
    </row>
    <row r="106" spans="2:27">
      <c r="B106" t="s">
        <v>256</v>
      </c>
      <c r="F106" s="59">
        <f>+IF(OR(IRR(G81:S81)&lt;0.51%,IRR(G81:S81)&gt;tasa_acuerdo),+tasa_acuerdo,IRR(G81:S81))</f>
        <v>4.2000000000000003E-2</v>
      </c>
    </row>
    <row r="107" spans="2:27">
      <c r="G107">
        <f t="shared" ref="G107:AA107" si="37">+G5</f>
        <v>2019</v>
      </c>
      <c r="H107">
        <f t="shared" si="37"/>
        <v>2020</v>
      </c>
      <c r="I107">
        <f t="shared" si="37"/>
        <v>2021</v>
      </c>
      <c r="J107">
        <f t="shared" si="37"/>
        <v>2022</v>
      </c>
      <c r="K107">
        <f t="shared" si="37"/>
        <v>2023</v>
      </c>
      <c r="L107">
        <f t="shared" si="37"/>
        <v>2024</v>
      </c>
      <c r="M107">
        <f t="shared" si="37"/>
        <v>2025</v>
      </c>
      <c r="N107">
        <f t="shared" si="37"/>
        <v>2026</v>
      </c>
      <c r="O107">
        <f t="shared" si="37"/>
        <v>2027</v>
      </c>
      <c r="P107">
        <f t="shared" si="37"/>
        <v>2028</v>
      </c>
      <c r="Q107">
        <f t="shared" si="37"/>
        <v>2029</v>
      </c>
      <c r="R107">
        <f t="shared" si="37"/>
        <v>2030</v>
      </c>
      <c r="S107">
        <f t="shared" si="37"/>
        <v>2031</v>
      </c>
      <c r="T107">
        <f t="shared" si="37"/>
        <v>2032</v>
      </c>
      <c r="U107">
        <f t="shared" si="37"/>
        <v>2033</v>
      </c>
      <c r="V107">
        <f t="shared" si="37"/>
        <v>2034</v>
      </c>
      <c r="W107">
        <f t="shared" si="37"/>
        <v>2035</v>
      </c>
      <c r="X107">
        <f t="shared" si="37"/>
        <v>2036</v>
      </c>
      <c r="Y107">
        <f t="shared" si="37"/>
        <v>2037</v>
      </c>
      <c r="Z107">
        <f t="shared" si="37"/>
        <v>2038</v>
      </c>
      <c r="AA107">
        <f t="shared" si="37"/>
        <v>2039</v>
      </c>
    </row>
    <row r="108" spans="2:27">
      <c r="B108" t="s">
        <v>278</v>
      </c>
      <c r="C108" s="38">
        <f>+Proyecciones!C91/1000000</f>
        <v>965.17893800000002</v>
      </c>
      <c r="D108" s="38"/>
      <c r="E108" s="38">
        <f>+C108</f>
        <v>965.17893800000002</v>
      </c>
      <c r="F108" s="38">
        <f>+E108</f>
        <v>965.17893800000002</v>
      </c>
      <c r="G108" s="38">
        <f>+F108</f>
        <v>965.17893800000002</v>
      </c>
      <c r="H108" s="38">
        <f t="shared" ref="H108:AA108" si="38">+G108-H84</f>
        <v>0</v>
      </c>
      <c r="I108" s="38">
        <f t="shared" si="38"/>
        <v>0</v>
      </c>
      <c r="J108" s="38">
        <f t="shared" si="38"/>
        <v>0</v>
      </c>
      <c r="K108" s="38">
        <f t="shared" si="38"/>
        <v>0</v>
      </c>
      <c r="L108" s="38">
        <f t="shared" si="38"/>
        <v>0</v>
      </c>
      <c r="M108" s="38">
        <f t="shared" si="38"/>
        <v>0</v>
      </c>
      <c r="N108" s="38">
        <f t="shared" si="38"/>
        <v>0</v>
      </c>
      <c r="O108" s="38">
        <f t="shared" si="38"/>
        <v>0</v>
      </c>
      <c r="P108" s="38">
        <f t="shared" si="38"/>
        <v>0</v>
      </c>
      <c r="Q108" s="38">
        <f t="shared" si="38"/>
        <v>0</v>
      </c>
      <c r="R108" s="38">
        <f t="shared" si="38"/>
        <v>0</v>
      </c>
      <c r="S108" s="38">
        <f t="shared" si="38"/>
        <v>0</v>
      </c>
      <c r="T108" s="38">
        <f t="shared" si="38"/>
        <v>0</v>
      </c>
      <c r="U108" s="38">
        <f t="shared" si="38"/>
        <v>0</v>
      </c>
      <c r="V108" s="38">
        <f t="shared" si="38"/>
        <v>0</v>
      </c>
      <c r="W108" s="38">
        <f t="shared" si="38"/>
        <v>0</v>
      </c>
      <c r="X108" s="38">
        <f t="shared" si="38"/>
        <v>0</v>
      </c>
      <c r="Y108" s="38">
        <f t="shared" si="38"/>
        <v>0</v>
      </c>
      <c r="Z108" s="38">
        <f t="shared" si="38"/>
        <v>0</v>
      </c>
      <c r="AA108" s="38">
        <f t="shared" si="38"/>
        <v>0</v>
      </c>
    </row>
    <row r="109" spans="2:27">
      <c r="B109" t="s">
        <v>279</v>
      </c>
      <c r="C109" s="38"/>
      <c r="D109" s="38"/>
      <c r="E109" s="56">
        <f>+E108*E$76*2/12</f>
        <v>6.7562525660000006</v>
      </c>
      <c r="F109" s="38">
        <f>+E109+E108*F$76-F85</f>
        <v>47.293767962000004</v>
      </c>
      <c r="G109" s="38">
        <f>+F109+F108*G$76-G85</f>
        <v>87.831283358000007</v>
      </c>
      <c r="H109" s="38">
        <f>+G109+G108*H$76-H85</f>
        <v>0</v>
      </c>
      <c r="I109" s="38">
        <f t="shared" ref="I109:R109" si="39">+H109+I108*I$76-I85</f>
        <v>0</v>
      </c>
      <c r="J109" s="38">
        <f t="shared" si="39"/>
        <v>0</v>
      </c>
      <c r="K109" s="38">
        <f t="shared" si="39"/>
        <v>0</v>
      </c>
      <c r="L109" s="38">
        <f t="shared" si="39"/>
        <v>0</v>
      </c>
      <c r="M109" s="38">
        <f t="shared" si="39"/>
        <v>0</v>
      </c>
      <c r="N109" s="38">
        <f t="shared" si="39"/>
        <v>0</v>
      </c>
      <c r="O109" s="38">
        <f t="shared" si="39"/>
        <v>0</v>
      </c>
      <c r="P109" s="38">
        <f t="shared" si="39"/>
        <v>0</v>
      </c>
      <c r="Q109" s="38">
        <f t="shared" si="39"/>
        <v>0</v>
      </c>
      <c r="R109" s="38">
        <f t="shared" si="39"/>
        <v>0</v>
      </c>
      <c r="S109" s="38">
        <f t="shared" ref="S109:AA109" si="40">+R109+S108*S$76-S85</f>
        <v>0</v>
      </c>
      <c r="T109" s="38">
        <f t="shared" si="40"/>
        <v>0</v>
      </c>
      <c r="U109" s="38">
        <f t="shared" si="40"/>
        <v>0</v>
      </c>
      <c r="V109" s="38">
        <f t="shared" si="40"/>
        <v>0</v>
      </c>
      <c r="W109" s="38">
        <f t="shared" si="40"/>
        <v>0</v>
      </c>
      <c r="X109" s="38">
        <f t="shared" si="40"/>
        <v>0</v>
      </c>
      <c r="Y109" s="38">
        <f t="shared" si="40"/>
        <v>0</v>
      </c>
      <c r="Z109" s="38">
        <f t="shared" si="40"/>
        <v>0</v>
      </c>
      <c r="AA109" s="38">
        <f t="shared" si="40"/>
        <v>0</v>
      </c>
    </row>
    <row r="110" spans="2:27">
      <c r="B110" t="s">
        <v>280</v>
      </c>
      <c r="C110" s="38">
        <f>+Proyecciones!C96/1000000</f>
        <v>91840.640757318979</v>
      </c>
      <c r="D110" s="38"/>
      <c r="E110" s="38">
        <f>+C110</f>
        <v>91840.640757318979</v>
      </c>
      <c r="F110" s="38">
        <f>+E110</f>
        <v>91840.640757318979</v>
      </c>
      <c r="G110" s="38">
        <f>+F110</f>
        <v>91840.640757318979</v>
      </c>
      <c r="H110" s="38">
        <f t="shared" ref="H110:AA110" si="41">+G110-H86+H52</f>
        <v>68706.655570318981</v>
      </c>
      <c r="I110" s="38">
        <f t="shared" si="41"/>
        <v>43101.576595318984</v>
      </c>
      <c r="J110" s="38">
        <f t="shared" si="41"/>
        <v>43101.576595318984</v>
      </c>
      <c r="K110" s="38">
        <f t="shared" si="41"/>
        <v>39101.576595318984</v>
      </c>
      <c r="L110" s="38">
        <f t="shared" si="41"/>
        <v>37601.576595318984</v>
      </c>
      <c r="M110" s="38">
        <f t="shared" si="41"/>
        <v>27601.576595318984</v>
      </c>
      <c r="N110" s="38">
        <f t="shared" si="41"/>
        <v>13601.576595318984</v>
      </c>
      <c r="O110" s="38">
        <f t="shared" si="41"/>
        <v>2037.5765953189839</v>
      </c>
      <c r="P110" s="38">
        <f t="shared" si="41"/>
        <v>0</v>
      </c>
      <c r="Q110" s="38">
        <f t="shared" si="41"/>
        <v>0</v>
      </c>
      <c r="R110" s="38">
        <f t="shared" si="41"/>
        <v>0</v>
      </c>
      <c r="S110" s="38">
        <f t="shared" si="41"/>
        <v>0</v>
      </c>
      <c r="T110" s="38">
        <f t="shared" si="41"/>
        <v>0</v>
      </c>
      <c r="U110" s="38">
        <f t="shared" si="41"/>
        <v>0</v>
      </c>
      <c r="V110" s="38">
        <f t="shared" si="41"/>
        <v>0</v>
      </c>
      <c r="W110" s="38">
        <f t="shared" si="41"/>
        <v>0</v>
      </c>
      <c r="X110" s="38">
        <f t="shared" si="41"/>
        <v>0</v>
      </c>
      <c r="Y110" s="38">
        <f t="shared" si="41"/>
        <v>0</v>
      </c>
      <c r="Z110" s="38">
        <f t="shared" si="41"/>
        <v>0</v>
      </c>
      <c r="AA110" s="38">
        <f t="shared" si="41"/>
        <v>0</v>
      </c>
    </row>
    <row r="111" spans="2:27">
      <c r="B111" t="s">
        <v>282</v>
      </c>
      <c r="C111" s="38"/>
      <c r="D111" s="38"/>
      <c r="E111" s="56">
        <f>+E110*E$76</f>
        <v>3857.3069118073972</v>
      </c>
      <c r="F111" s="38">
        <f>+E111+E110*F$76</f>
        <v>7714.6138236147945</v>
      </c>
      <c r="G111" s="38">
        <f>+F111+F110*G$76</f>
        <v>11571.920735422191</v>
      </c>
      <c r="H111" s="38">
        <f t="shared" ref="H111:Q111" si="42">+G111+G110*H$76-H87</f>
        <v>15429.227647229589</v>
      </c>
      <c r="I111" s="38">
        <f t="shared" si="42"/>
        <v>18314.907181182985</v>
      </c>
      <c r="J111" s="38">
        <f t="shared" si="42"/>
        <v>20125.173398186384</v>
      </c>
      <c r="K111" s="38">
        <f t="shared" si="42"/>
        <v>21135.439615189782</v>
      </c>
      <c r="L111" s="38">
        <f t="shared" si="42"/>
        <v>22477.70583219318</v>
      </c>
      <c r="M111" s="38">
        <f t="shared" si="42"/>
        <v>22432.987815149769</v>
      </c>
      <c r="N111" s="38">
        <f t="shared" si="42"/>
        <v>21068.269798106357</v>
      </c>
      <c r="O111" s="38">
        <f t="shared" si="42"/>
        <v>19598.767547016134</v>
      </c>
      <c r="P111" s="38">
        <f t="shared" si="42"/>
        <v>19317.581976862115</v>
      </c>
      <c r="Q111" s="38">
        <f t="shared" si="42"/>
        <v>19317.581976862115</v>
      </c>
      <c r="R111" s="38">
        <f t="shared" ref="R111:AA111" si="43">+Q111+Q110*R$76-R87</f>
        <v>19317.581976862115</v>
      </c>
      <c r="S111" s="38">
        <f t="shared" si="43"/>
        <v>0</v>
      </c>
      <c r="T111" s="38">
        <f t="shared" si="43"/>
        <v>0</v>
      </c>
      <c r="U111" s="38">
        <f t="shared" si="43"/>
        <v>0</v>
      </c>
      <c r="V111" s="38">
        <f t="shared" si="43"/>
        <v>0</v>
      </c>
      <c r="W111" s="38">
        <f t="shared" si="43"/>
        <v>0</v>
      </c>
      <c r="X111" s="38">
        <f t="shared" si="43"/>
        <v>0</v>
      </c>
      <c r="Y111" s="38">
        <f t="shared" si="43"/>
        <v>0</v>
      </c>
      <c r="Z111" s="38">
        <f t="shared" si="43"/>
        <v>0</v>
      </c>
      <c r="AA111" s="38">
        <f t="shared" si="43"/>
        <v>0</v>
      </c>
    </row>
    <row r="112" spans="2:27">
      <c r="B112" t="s">
        <v>281</v>
      </c>
      <c r="C112" s="38">
        <f>+Proyecciones!C97/1000000</f>
        <v>20620.294330000001</v>
      </c>
      <c r="D112" s="38"/>
      <c r="E112" s="38">
        <f>+C112</f>
        <v>20620.294330000001</v>
      </c>
      <c r="F112" s="38">
        <f>+E112</f>
        <v>20620.294330000001</v>
      </c>
      <c r="G112" s="38">
        <f>+F112</f>
        <v>20620.294330000001</v>
      </c>
      <c r="H112" s="38">
        <f>+G112-H88</f>
        <v>20620.294330000001</v>
      </c>
      <c r="I112" s="38">
        <f t="shared" ref="I112:AA112" si="44">+H112-I88</f>
        <v>20620.294330000001</v>
      </c>
      <c r="J112" s="38">
        <f t="shared" si="44"/>
        <v>20620.294330000001</v>
      </c>
      <c r="K112" s="38">
        <f>+J112</f>
        <v>20620.294330000001</v>
      </c>
      <c r="L112" s="38">
        <f t="shared" si="44"/>
        <v>20620.294330000001</v>
      </c>
      <c r="M112" s="38">
        <f t="shared" si="44"/>
        <v>20620.294330000001</v>
      </c>
      <c r="N112" s="38">
        <f t="shared" si="44"/>
        <v>20620.294330000001</v>
      </c>
      <c r="O112" s="38">
        <f t="shared" si="44"/>
        <v>20620.294330000001</v>
      </c>
      <c r="P112" s="38">
        <f t="shared" si="44"/>
        <v>15157.870925318985</v>
      </c>
      <c r="Q112" s="38">
        <f t="shared" si="44"/>
        <v>723.87092531898452</v>
      </c>
      <c r="R112" s="38">
        <f t="shared" si="44"/>
        <v>0</v>
      </c>
      <c r="S112" s="38">
        <f t="shared" si="44"/>
        <v>0</v>
      </c>
      <c r="T112" s="38">
        <f t="shared" si="44"/>
        <v>0</v>
      </c>
      <c r="U112" s="38">
        <f t="shared" si="44"/>
        <v>0</v>
      </c>
      <c r="V112" s="38">
        <f t="shared" si="44"/>
        <v>0</v>
      </c>
      <c r="W112" s="38">
        <f t="shared" si="44"/>
        <v>0</v>
      </c>
      <c r="X112" s="38">
        <f t="shared" si="44"/>
        <v>0</v>
      </c>
      <c r="Y112" s="38">
        <f t="shared" si="44"/>
        <v>0</v>
      </c>
      <c r="Z112" s="38">
        <f t="shared" si="44"/>
        <v>0</v>
      </c>
      <c r="AA112" s="38">
        <f t="shared" si="44"/>
        <v>0</v>
      </c>
    </row>
    <row r="113" spans="1:27">
      <c r="B113" t="s">
        <v>283</v>
      </c>
      <c r="C113" s="38"/>
      <c r="D113" s="38"/>
      <c r="E113" s="56">
        <f>+E112*E$76*2/12</f>
        <v>144.34206031000002</v>
      </c>
      <c r="F113" s="38">
        <f>+E113+E112*F$76-F89</f>
        <v>1010.3944221700001</v>
      </c>
      <c r="G113" s="38">
        <f t="shared" ref="G113:AA113" si="45">+F113+F112*G$76-G89</f>
        <v>1876.4467840300003</v>
      </c>
      <c r="H113" s="38">
        <f t="shared" si="45"/>
        <v>2742.4991458900004</v>
      </c>
      <c r="I113" s="38">
        <f t="shared" si="45"/>
        <v>3608.5515077500004</v>
      </c>
      <c r="J113" s="38">
        <f t="shared" si="45"/>
        <v>4474.6038696100004</v>
      </c>
      <c r="K113" s="38">
        <f t="shared" si="45"/>
        <v>5340.6562314700004</v>
      </c>
      <c r="L113" s="38">
        <f t="shared" si="45"/>
        <v>6206.7085933300004</v>
      </c>
      <c r="M113" s="38">
        <f t="shared" si="45"/>
        <v>7278.9638984900002</v>
      </c>
      <c r="N113" s="38">
        <f t="shared" si="45"/>
        <v>8351.2192036500001</v>
      </c>
      <c r="O113" s="38">
        <f t="shared" si="45"/>
        <v>9629.6774521099996</v>
      </c>
      <c r="P113" s="38">
        <f t="shared" si="45"/>
        <v>9815.6510196337967</v>
      </c>
      <c r="Q113" s="38">
        <f t="shared" si="45"/>
        <v>7868.6390170035729</v>
      </c>
      <c r="R113" s="38">
        <f t="shared" si="45"/>
        <v>7768.7448293095531</v>
      </c>
      <c r="S113" s="38">
        <f t="shared" si="45"/>
        <v>0</v>
      </c>
      <c r="T113" s="38">
        <f t="shared" si="45"/>
        <v>0</v>
      </c>
      <c r="U113" s="38">
        <f t="shared" si="45"/>
        <v>0</v>
      </c>
      <c r="V113" s="38">
        <f t="shared" si="45"/>
        <v>0</v>
      </c>
      <c r="W113" s="38">
        <f t="shared" si="45"/>
        <v>0</v>
      </c>
      <c r="X113" s="38">
        <f t="shared" si="45"/>
        <v>0</v>
      </c>
      <c r="Y113" s="38">
        <f t="shared" si="45"/>
        <v>0</v>
      </c>
      <c r="Z113" s="38">
        <f t="shared" si="45"/>
        <v>0</v>
      </c>
      <c r="AA113" s="38">
        <f t="shared" si="45"/>
        <v>0</v>
      </c>
    </row>
    <row r="114" spans="1:27">
      <c r="B114" t="s">
        <v>284</v>
      </c>
      <c r="C114" s="38">
        <f>+Proyecciones!C100/1000000</f>
        <v>33158.202229681017</v>
      </c>
      <c r="D114" s="38"/>
      <c r="E114" s="38">
        <f>+C114</f>
        <v>33158.202229681017</v>
      </c>
      <c r="F114" s="38">
        <f>+E114</f>
        <v>33158.202229681017</v>
      </c>
      <c r="G114" s="38">
        <f>+F114</f>
        <v>33158.202229681017</v>
      </c>
      <c r="H114" s="38">
        <f t="shared" ref="H114:AA114" si="46">+G114-H90+H53</f>
        <v>33158.202229681017</v>
      </c>
      <c r="I114" s="38">
        <f t="shared" si="46"/>
        <v>33158.202229681017</v>
      </c>
      <c r="J114" s="38">
        <f t="shared" si="46"/>
        <v>33158.202229681017</v>
      </c>
      <c r="K114" s="38">
        <f t="shared" si="46"/>
        <v>33158.202229681017</v>
      </c>
      <c r="L114" s="38">
        <f t="shared" si="46"/>
        <v>33158.202229681017</v>
      </c>
      <c r="M114" s="38">
        <f t="shared" si="46"/>
        <v>33158.202229681017</v>
      </c>
      <c r="N114" s="38">
        <f t="shared" si="46"/>
        <v>33158.202229681017</v>
      </c>
      <c r="O114" s="38">
        <f t="shared" si="46"/>
        <v>33158.202229681017</v>
      </c>
      <c r="P114" s="38">
        <f t="shared" si="46"/>
        <v>33158.202229681017</v>
      </c>
      <c r="Q114" s="38">
        <f t="shared" si="46"/>
        <v>33158.202229681017</v>
      </c>
      <c r="R114" s="38">
        <f t="shared" si="46"/>
        <v>13882.073155000002</v>
      </c>
      <c r="S114" s="38">
        <f t="shared" si="46"/>
        <v>0</v>
      </c>
      <c r="T114" s="38">
        <f t="shared" si="46"/>
        <v>0</v>
      </c>
      <c r="U114" s="38">
        <f t="shared" si="46"/>
        <v>0</v>
      </c>
      <c r="V114" s="38">
        <f t="shared" si="46"/>
        <v>0</v>
      </c>
      <c r="W114" s="38">
        <f t="shared" si="46"/>
        <v>0</v>
      </c>
      <c r="X114" s="38">
        <f t="shared" si="46"/>
        <v>0</v>
      </c>
      <c r="Y114" s="38">
        <f t="shared" si="46"/>
        <v>0</v>
      </c>
      <c r="Z114" s="38">
        <f t="shared" si="46"/>
        <v>0</v>
      </c>
      <c r="AA114" s="38">
        <f t="shared" si="46"/>
        <v>0</v>
      </c>
    </row>
    <row r="115" spans="1:27">
      <c r="B115" t="s">
        <v>285</v>
      </c>
      <c r="C115" s="38"/>
      <c r="D115" s="38"/>
      <c r="E115" s="56">
        <f>+E114*E$76</f>
        <v>1392.6444936466028</v>
      </c>
      <c r="F115" s="38">
        <f>+E115+E114*F$76-F91</f>
        <v>2785.2889872932055</v>
      </c>
      <c r="G115" s="38">
        <f>+F115+F114*G$76-G91</f>
        <v>4177.9334809398079</v>
      </c>
      <c r="H115" s="38">
        <f>+G115+G114*H$76-H91</f>
        <v>5570.5779745864111</v>
      </c>
      <c r="I115" s="38">
        <f t="shared" ref="I115:AA115" si="47">+H115+H114*I$76-I91</f>
        <v>6963.2224682330143</v>
      </c>
      <c r="J115" s="38">
        <f t="shared" si="47"/>
        <v>8355.8669618796175</v>
      </c>
      <c r="K115" s="38">
        <f t="shared" si="47"/>
        <v>9748.5114555262207</v>
      </c>
      <c r="L115" s="38">
        <f t="shared" si="47"/>
        <v>11141.155949172824</v>
      </c>
      <c r="M115" s="38">
        <f t="shared" si="47"/>
        <v>12865.382465116236</v>
      </c>
      <c r="N115" s="38">
        <f t="shared" si="47"/>
        <v>14589.60898105965</v>
      </c>
      <c r="O115" s="38">
        <f t="shared" si="47"/>
        <v>16645.417519299874</v>
      </c>
      <c r="P115" s="38">
        <f t="shared" si="47"/>
        <v>18701.226057540098</v>
      </c>
      <c r="Q115" s="38">
        <f t="shared" si="47"/>
        <v>20757.034595780322</v>
      </c>
      <c r="R115" s="38">
        <f t="shared" si="47"/>
        <v>18957.617319084344</v>
      </c>
      <c r="S115" s="38">
        <f t="shared" si="47"/>
        <v>0</v>
      </c>
      <c r="T115" s="38">
        <f t="shared" si="47"/>
        <v>0</v>
      </c>
      <c r="U115" s="38">
        <f t="shared" si="47"/>
        <v>0</v>
      </c>
      <c r="V115" s="38">
        <f t="shared" si="47"/>
        <v>0</v>
      </c>
      <c r="W115" s="38">
        <f t="shared" si="47"/>
        <v>0</v>
      </c>
      <c r="X115" s="38">
        <f t="shared" si="47"/>
        <v>0</v>
      </c>
      <c r="Y115" s="38">
        <f t="shared" si="47"/>
        <v>0</v>
      </c>
      <c r="Z115" s="38">
        <f t="shared" si="47"/>
        <v>0</v>
      </c>
      <c r="AA115" s="38">
        <f t="shared" si="47"/>
        <v>0</v>
      </c>
    </row>
    <row r="117" spans="1:27">
      <c r="A117" s="38"/>
      <c r="B117" t="s">
        <v>295</v>
      </c>
      <c r="C117" s="38">
        <f>+C114+C112+C110+C108</f>
        <v>146584.31625500001</v>
      </c>
      <c r="D117" s="3"/>
      <c r="E117" s="38">
        <f>+E108+E110+E112+E114</f>
        <v>146584.31625500001</v>
      </c>
      <c r="F117" s="38">
        <f t="shared" ref="F117:AA117" si="48">+F108+F110+F112+F114</f>
        <v>146584.31625500001</v>
      </c>
      <c r="G117" s="38">
        <f t="shared" si="48"/>
        <v>146584.31625500001</v>
      </c>
      <c r="H117" s="38">
        <f t="shared" si="48"/>
        <v>122485.15213</v>
      </c>
      <c r="I117" s="38">
        <f t="shared" si="48"/>
        <v>96880.073155000005</v>
      </c>
      <c r="J117" s="38">
        <f t="shared" si="48"/>
        <v>96880.073155000005</v>
      </c>
      <c r="K117" s="38">
        <f t="shared" si="48"/>
        <v>92880.073155000005</v>
      </c>
      <c r="L117" s="38">
        <f t="shared" si="48"/>
        <v>91380.073155000005</v>
      </c>
      <c r="M117" s="38">
        <f t="shared" si="48"/>
        <v>81380.073155000005</v>
      </c>
      <c r="N117" s="38">
        <f t="shared" si="48"/>
        <v>67380.073155000005</v>
      </c>
      <c r="O117" s="38">
        <f t="shared" si="48"/>
        <v>55816.073155000005</v>
      </c>
      <c r="P117" s="38">
        <f t="shared" si="48"/>
        <v>48316.073155000005</v>
      </c>
      <c r="Q117" s="38">
        <f t="shared" si="48"/>
        <v>33882.073155000005</v>
      </c>
      <c r="R117" s="38">
        <f t="shared" si="48"/>
        <v>13882.073155000002</v>
      </c>
      <c r="S117" s="38">
        <f t="shared" si="48"/>
        <v>0</v>
      </c>
      <c r="T117" s="38">
        <f t="shared" si="48"/>
        <v>0</v>
      </c>
      <c r="U117" s="38">
        <f t="shared" si="48"/>
        <v>0</v>
      </c>
      <c r="V117" s="38">
        <f t="shared" si="48"/>
        <v>0</v>
      </c>
      <c r="W117" s="38">
        <f t="shared" si="48"/>
        <v>0</v>
      </c>
      <c r="X117" s="38">
        <f t="shared" si="48"/>
        <v>0</v>
      </c>
      <c r="Y117" s="38">
        <f t="shared" si="48"/>
        <v>0</v>
      </c>
      <c r="Z117" s="38">
        <f t="shared" si="48"/>
        <v>0</v>
      </c>
      <c r="AA117" s="38">
        <f t="shared" si="48"/>
        <v>0</v>
      </c>
    </row>
    <row r="118" spans="1:27">
      <c r="A118" s="38"/>
      <c r="B118" t="s">
        <v>296</v>
      </c>
      <c r="E118" s="38">
        <f>+E109+E111+E113+E115</f>
        <v>5401.0497183299995</v>
      </c>
      <c r="F118" s="38">
        <f t="shared" ref="F118:AA118" si="49">+F109+F111+F113+F115</f>
        <v>11557.59100104</v>
      </c>
      <c r="G118" s="38">
        <f t="shared" si="49"/>
        <v>17714.132283749997</v>
      </c>
      <c r="H118" s="38">
        <f t="shared" si="49"/>
        <v>23742.304767706002</v>
      </c>
      <c r="I118" s="38">
        <f t="shared" si="49"/>
        <v>28886.681157166</v>
      </c>
      <c r="J118" s="38">
        <f t="shared" si="49"/>
        <v>32955.644229676</v>
      </c>
      <c r="K118" s="38">
        <f t="shared" si="49"/>
        <v>36224.607302185999</v>
      </c>
      <c r="L118" s="38">
        <f t="shared" si="49"/>
        <v>39825.570374696006</v>
      </c>
      <c r="M118" s="38">
        <f t="shared" si="49"/>
        <v>42577.334178756006</v>
      </c>
      <c r="N118" s="38">
        <f t="shared" si="49"/>
        <v>44009.097982816005</v>
      </c>
      <c r="O118" s="38">
        <f t="shared" si="49"/>
        <v>45873.862518426009</v>
      </c>
      <c r="P118" s="38">
        <f t="shared" si="49"/>
        <v>47834.459054036008</v>
      </c>
      <c r="Q118" s="38">
        <f t="shared" si="49"/>
        <v>47943.255589646011</v>
      </c>
      <c r="R118" s="38">
        <f t="shared" si="49"/>
        <v>46043.944125256006</v>
      </c>
      <c r="S118" s="38">
        <f t="shared" si="49"/>
        <v>0</v>
      </c>
      <c r="T118" s="38">
        <f t="shared" si="49"/>
        <v>0</v>
      </c>
      <c r="U118" s="38">
        <f t="shared" si="49"/>
        <v>0</v>
      </c>
      <c r="V118" s="38">
        <f t="shared" si="49"/>
        <v>0</v>
      </c>
      <c r="W118" s="38">
        <f t="shared" si="49"/>
        <v>0</v>
      </c>
      <c r="X118" s="38">
        <f t="shared" si="49"/>
        <v>0</v>
      </c>
      <c r="Y118" s="38">
        <f t="shared" si="49"/>
        <v>0</v>
      </c>
      <c r="Z118" s="38">
        <f t="shared" si="49"/>
        <v>0</v>
      </c>
      <c r="AA118" s="38">
        <f t="shared" si="49"/>
        <v>0</v>
      </c>
    </row>
    <row r="119" spans="1:27">
      <c r="A119" s="38">
        <f>+SUM(E119:T119)</f>
        <v>63632.601459620011</v>
      </c>
      <c r="B119" t="s">
        <v>412</v>
      </c>
      <c r="E119" s="38">
        <f>+E118</f>
        <v>5401.0497183299995</v>
      </c>
      <c r="F119" s="38">
        <f>+F118-E118</f>
        <v>6156.5412827100008</v>
      </c>
      <c r="G119" s="38">
        <f>+G118-F118</f>
        <v>6156.5412827099972</v>
      </c>
      <c r="H119" s="38">
        <f>+H118-G118+H83</f>
        <v>6156.5412827100045</v>
      </c>
      <c r="I119" s="38">
        <f t="shared" ref="I119:U119" si="50">+I118-H118+I83</f>
        <v>5144.3763894599979</v>
      </c>
      <c r="J119" s="38">
        <f t="shared" si="50"/>
        <v>4068.9630725099996</v>
      </c>
      <c r="K119" s="38">
        <f t="shared" si="50"/>
        <v>4068.9630725099996</v>
      </c>
      <c r="L119" s="38">
        <f t="shared" si="50"/>
        <v>3900.9630725100069</v>
      </c>
      <c r="M119" s="38">
        <f t="shared" si="50"/>
        <v>4751.7638040599995</v>
      </c>
      <c r="N119" s="38">
        <f t="shared" si="50"/>
        <v>4231.7638040599995</v>
      </c>
      <c r="O119" s="38">
        <f t="shared" si="50"/>
        <v>4177.564535610004</v>
      </c>
      <c r="P119" s="38">
        <f t="shared" si="50"/>
        <v>3460.5965356099987</v>
      </c>
      <c r="Q119" s="38">
        <f t="shared" si="50"/>
        <v>2995.5965356100032</v>
      </c>
      <c r="R119" s="38">
        <f t="shared" si="50"/>
        <v>2100.6885356099956</v>
      </c>
      <c r="S119" s="38">
        <f t="shared" si="50"/>
        <v>860.68853561000287</v>
      </c>
      <c r="T119" s="38">
        <f t="shared" si="50"/>
        <v>0</v>
      </c>
      <c r="U119" s="38">
        <f t="shared" si="50"/>
        <v>0</v>
      </c>
      <c r="V119" s="38"/>
      <c r="W119" s="38">
        <f>+W118-V118</f>
        <v>0</v>
      </c>
      <c r="X119" s="38">
        <f>+X118-W118</f>
        <v>0</v>
      </c>
      <c r="Y119" s="38">
        <f>+Y118-X118</f>
        <v>0</v>
      </c>
      <c r="Z119" s="38">
        <f>+Z118-Y118</f>
        <v>0</v>
      </c>
      <c r="AA119" s="38">
        <f>+AA118-Z118</f>
        <v>0</v>
      </c>
    </row>
    <row r="120" spans="1:27">
      <c r="A120">
        <v>6.7140972408398086E-2</v>
      </c>
      <c r="B120" t="s">
        <v>413</v>
      </c>
      <c r="C120" s="38">
        <f>+SUM(H120:U120)</f>
        <v>63632.601459999969</v>
      </c>
      <c r="H120" s="38">
        <f>+PyG!M154</f>
        <v>9841.8135331808553</v>
      </c>
      <c r="I120" s="38">
        <f>+PyG!N154</f>
        <v>8223.7722195987717</v>
      </c>
      <c r="J120" s="38">
        <f>+PyG!O154</f>
        <v>6504.6223186234438</v>
      </c>
      <c r="K120" s="38">
        <f>+PyG!P154</f>
        <v>6504.6223186234438</v>
      </c>
      <c r="L120" s="38">
        <f>+PyG!Q154</f>
        <v>6236.0584289898516</v>
      </c>
      <c r="M120" s="38">
        <f>+PyG!R154</f>
        <v>6135.3469703772544</v>
      </c>
      <c r="N120" s="38">
        <f>+PyG!S154</f>
        <v>5463.9372462932733</v>
      </c>
      <c r="O120" s="38">
        <f>+PyG!T154</f>
        <v>4523.9636325757001</v>
      </c>
      <c r="P120" s="38">
        <f>+PyG!U154</f>
        <v>3747.5454276449846</v>
      </c>
      <c r="Q120" s="38">
        <f>+PyG!V154</f>
        <v>3243.988134581999</v>
      </c>
      <c r="R120" s="38">
        <f>+PyG!W154</f>
        <v>2274.875338839181</v>
      </c>
      <c r="S120" s="38">
        <f>+PyG!X154</f>
        <v>932.05589067121889</v>
      </c>
      <c r="T120" s="38">
        <f>+PyG!Y154</f>
        <v>0</v>
      </c>
      <c r="U120" s="38">
        <f>+PyG!Z154</f>
        <v>0</v>
      </c>
    </row>
    <row r="121" spans="1:27">
      <c r="B121" t="s">
        <v>730</v>
      </c>
      <c r="C121" s="370">
        <f>+A120</f>
        <v>6.7140972408398086E-2</v>
      </c>
    </row>
    <row r="122" spans="1:27">
      <c r="C122" s="3"/>
    </row>
    <row r="123" spans="1:27">
      <c r="B123" s="2"/>
      <c r="G123" s="2">
        <f t="shared" ref="G123:AA123" si="51">+G5</f>
        <v>2019</v>
      </c>
      <c r="H123" s="2">
        <f t="shared" si="51"/>
        <v>2020</v>
      </c>
      <c r="I123" s="2">
        <f t="shared" si="51"/>
        <v>2021</v>
      </c>
      <c r="J123" s="2">
        <f t="shared" si="51"/>
        <v>2022</v>
      </c>
      <c r="K123" s="2">
        <f t="shared" si="51"/>
        <v>2023</v>
      </c>
      <c r="L123" s="2">
        <f t="shared" si="51"/>
        <v>2024</v>
      </c>
      <c r="M123" s="2">
        <f t="shared" si="51"/>
        <v>2025</v>
      </c>
      <c r="N123" s="2">
        <f t="shared" si="51"/>
        <v>2026</v>
      </c>
      <c r="O123" s="2">
        <f t="shared" si="51"/>
        <v>2027</v>
      </c>
      <c r="P123" s="2">
        <f t="shared" si="51"/>
        <v>2028</v>
      </c>
      <c r="Q123" s="2">
        <f t="shared" si="51"/>
        <v>2029</v>
      </c>
      <c r="R123" s="2">
        <f t="shared" si="51"/>
        <v>2030</v>
      </c>
      <c r="S123" s="2">
        <f t="shared" si="51"/>
        <v>2031</v>
      </c>
      <c r="T123" s="2">
        <f t="shared" si="51"/>
        <v>2032</v>
      </c>
      <c r="U123" s="2">
        <f t="shared" si="51"/>
        <v>2033</v>
      </c>
      <c r="V123" s="2">
        <f t="shared" si="51"/>
        <v>2034</v>
      </c>
      <c r="W123" s="2">
        <f t="shared" si="51"/>
        <v>2035</v>
      </c>
      <c r="X123" s="2">
        <f t="shared" si="51"/>
        <v>2036</v>
      </c>
      <c r="Y123" s="2">
        <f t="shared" si="51"/>
        <v>2037</v>
      </c>
      <c r="Z123" s="2">
        <f t="shared" si="51"/>
        <v>2038</v>
      </c>
      <c r="AA123" s="2">
        <f t="shared" si="51"/>
        <v>2039</v>
      </c>
    </row>
    <row r="124" spans="1:27">
      <c r="B124" s="2" t="str">
        <f>+B13</f>
        <v>FC AIA Negocios Externamente Generados</v>
      </c>
      <c r="G124" s="2">
        <f t="shared" ref="G124:AA124" si="52">+G13</f>
        <v>15552.374</v>
      </c>
      <c r="H124" s="2">
        <f t="shared" si="52"/>
        <v>4770.0169999999989</v>
      </c>
      <c r="I124" s="2">
        <f t="shared" si="52"/>
        <v>3385.7291200000009</v>
      </c>
      <c r="J124" s="2">
        <f t="shared" si="52"/>
        <v>9156.3056447999988</v>
      </c>
      <c r="K124" s="2">
        <f t="shared" si="52"/>
        <v>8377.729103231999</v>
      </c>
      <c r="L124" s="2">
        <f t="shared" si="52"/>
        <v>13238.971850209276</v>
      </c>
      <c r="M124" s="2">
        <f t="shared" si="52"/>
        <v>19020.328768377658</v>
      </c>
      <c r="N124" s="2">
        <f t="shared" si="52"/>
        <v>20323.864507162165</v>
      </c>
      <c r="O124" s="2">
        <f t="shared" si="52"/>
        <v>21719.31238675032</v>
      </c>
      <c r="P124" s="2">
        <f t="shared" si="52"/>
        <v>23213.263290494833</v>
      </c>
      <c r="Q124" s="2">
        <f t="shared" si="52"/>
        <v>24812.785304147474</v>
      </c>
      <c r="R124" s="2">
        <f t="shared" si="52"/>
        <v>27035.381292288512</v>
      </c>
      <c r="S124" s="2">
        <f t="shared" si="52"/>
        <v>37828.019039185856</v>
      </c>
      <c r="T124" s="2">
        <f t="shared" si="52"/>
        <v>29753.030924313367</v>
      </c>
      <c r="U124" s="2">
        <f t="shared" si="52"/>
        <v>31814.538666380467</v>
      </c>
      <c r="V124" s="2">
        <f t="shared" si="52"/>
        <v>34022.361921223623</v>
      </c>
      <c r="W124" s="2">
        <f t="shared" si="52"/>
        <v>36387.032618636484</v>
      </c>
      <c r="X124" s="2">
        <f t="shared" si="52"/>
        <v>39682.67088469764</v>
      </c>
      <c r="Y124" s="2">
        <f t="shared" si="52"/>
        <v>40837.978208753433</v>
      </c>
      <c r="Z124" s="2">
        <f t="shared" si="52"/>
        <v>43686.053744060519</v>
      </c>
      <c r="AA124" s="2">
        <f t="shared" si="52"/>
        <v>46737.054994281702</v>
      </c>
    </row>
    <row r="125" spans="1:27">
      <c r="B125" s="2" t="str">
        <f>+B19</f>
        <v>FC AIA Negocios internamente Generados</v>
      </c>
      <c r="G125" s="2">
        <f t="shared" ref="G125:AA125" si="53">+G19</f>
        <v>-1375</v>
      </c>
      <c r="H125" s="2">
        <f t="shared" si="53"/>
        <v>1747.0416528711085</v>
      </c>
      <c r="I125" s="2">
        <f t="shared" si="53"/>
        <v>4877.2304821907228</v>
      </c>
      <c r="J125" s="2">
        <f t="shared" si="53"/>
        <v>8353.3460447268117</v>
      </c>
      <c r="K125" s="2">
        <f t="shared" si="53"/>
        <v>6159.4405199121993</v>
      </c>
      <c r="L125" s="2">
        <f t="shared" si="53"/>
        <v>9307.814115022089</v>
      </c>
      <c r="M125" s="2">
        <f t="shared" si="53"/>
        <v>18477.995529145679</v>
      </c>
      <c r="N125" s="2">
        <f t="shared" si="53"/>
        <v>22460.501550910474</v>
      </c>
      <c r="O125" s="2">
        <f t="shared" si="53"/>
        <v>27316.224897657648</v>
      </c>
      <c r="P125" s="2">
        <f t="shared" si="53"/>
        <v>31046.397759395637</v>
      </c>
      <c r="Q125" s="2">
        <f t="shared" si="53"/>
        <v>34256.565961455126</v>
      </c>
      <c r="R125" s="2">
        <f t="shared" si="53"/>
        <v>37559.320941774728</v>
      </c>
      <c r="S125" s="2">
        <f t="shared" si="53"/>
        <v>53535.516190492206</v>
      </c>
      <c r="T125" s="2">
        <f t="shared" si="53"/>
        <v>45772.173186559507</v>
      </c>
      <c r="U125" s="2">
        <f t="shared" si="53"/>
        <v>41501.723287250359</v>
      </c>
      <c r="V125" s="2">
        <f t="shared" si="53"/>
        <v>42691.664272973314</v>
      </c>
      <c r="W125" s="2">
        <f t="shared" si="53"/>
        <v>44783.396122123304</v>
      </c>
      <c r="X125" s="2">
        <f t="shared" si="53"/>
        <v>37545.374119942222</v>
      </c>
      <c r="Y125" s="2">
        <f t="shared" si="53"/>
        <v>52423.492870595583</v>
      </c>
      <c r="Z125" s="2">
        <f t="shared" si="53"/>
        <v>57691.605542719408</v>
      </c>
      <c r="AA125" s="2">
        <f t="shared" si="53"/>
        <v>52478.316053179769</v>
      </c>
    </row>
    <row r="126" spans="1:27">
      <c r="B126" s="2" t="str">
        <f>+CONCATENATE(B25," + ",B26)</f>
        <v>Gastos corporativos,no recurrentes, imptos + Días de Caja</v>
      </c>
      <c r="G126" s="2">
        <f t="shared" ref="G126:AA126" si="54">+G25+G26</f>
        <v>-16305.722420814438</v>
      </c>
      <c r="H126" s="2">
        <f t="shared" si="54"/>
        <v>-16263.453388247181</v>
      </c>
      <c r="I126" s="2">
        <f t="shared" si="54"/>
        <v>-17306.496715378718</v>
      </c>
      <c r="J126" s="2">
        <f t="shared" si="54"/>
        <v>-18417.122992058397</v>
      </c>
      <c r="K126" s="2">
        <f t="shared" si="54"/>
        <v>-19133.740785894042</v>
      </c>
      <c r="L126" s="2">
        <f t="shared" si="54"/>
        <v>-20701.741714367901</v>
      </c>
      <c r="M126" s="2">
        <f t="shared" si="54"/>
        <v>-22006.138205038013</v>
      </c>
      <c r="N126" s="2">
        <f t="shared" si="54"/>
        <v>-24735.991629317421</v>
      </c>
      <c r="O126" s="2">
        <f t="shared" si="54"/>
        <v>-32996.99343232852</v>
      </c>
      <c r="P126" s="2">
        <f t="shared" si="54"/>
        <v>-36515.857865722894</v>
      </c>
      <c r="Q126" s="2">
        <f t="shared" si="54"/>
        <v>-39711.878434413127</v>
      </c>
      <c r="R126" s="2">
        <f t="shared" si="54"/>
        <v>-42608.836367791722</v>
      </c>
      <c r="S126" s="2">
        <f t="shared" si="54"/>
        <v>-43444.762304516335</v>
      </c>
      <c r="T126" s="2">
        <f t="shared" si="54"/>
        <v>-45266.089515502477</v>
      </c>
      <c r="U126" s="2">
        <f t="shared" si="54"/>
        <v>-47404.123429257961</v>
      </c>
      <c r="V126" s="2">
        <f t="shared" si="54"/>
        <v>-49947.046616764463</v>
      </c>
      <c r="W126" s="2">
        <f t="shared" si="54"/>
        <v>-52805.683565304265</v>
      </c>
      <c r="X126" s="2">
        <f t="shared" si="54"/>
        <v>-54849.283392503858</v>
      </c>
      <c r="Y126" s="2">
        <f t="shared" si="54"/>
        <v>-58882.833858265396</v>
      </c>
      <c r="Z126" s="2">
        <f t="shared" si="54"/>
        <v>-61816.645932090374</v>
      </c>
      <c r="AA126" s="2">
        <f t="shared" si="54"/>
        <v>-62885.890749408194</v>
      </c>
    </row>
    <row r="127" spans="1:27">
      <c r="B127" s="2" t="str">
        <f>+B35</f>
        <v>Flujo Caja Inversión</v>
      </c>
      <c r="G127" s="2">
        <f t="shared" ref="G127:AA127" si="55">+G35</f>
        <v>-4708</v>
      </c>
      <c r="H127" s="2">
        <f t="shared" si="55"/>
        <v>-3712</v>
      </c>
      <c r="I127" s="2">
        <f t="shared" si="55"/>
        <v>-847.65844773499975</v>
      </c>
      <c r="J127" s="2">
        <f t="shared" si="55"/>
        <v>-6022.3488000000007</v>
      </c>
      <c r="K127" s="2">
        <f t="shared" si="55"/>
        <v>-3463.242752000001</v>
      </c>
      <c r="L127" s="2">
        <f t="shared" si="55"/>
        <v>-2801.7724620800018</v>
      </c>
      <c r="M127" s="2">
        <f t="shared" si="55"/>
        <v>-3171.0499864576022</v>
      </c>
      <c r="N127" s="2">
        <f t="shared" si="55"/>
        <v>-3371.3795933143056</v>
      </c>
      <c r="O127" s="2">
        <f t="shared" si="55"/>
        <v>-3506.2347770468778</v>
      </c>
      <c r="P127" s="2">
        <f t="shared" si="55"/>
        <v>-3646.4841681287526</v>
      </c>
      <c r="Q127" s="2">
        <f t="shared" si="55"/>
        <v>-2020.8969089595048</v>
      </c>
      <c r="R127" s="2">
        <f t="shared" si="55"/>
        <v>4870.1018586038454</v>
      </c>
      <c r="S127" s="2">
        <f t="shared" si="55"/>
        <v>6187.9154825418282</v>
      </c>
      <c r="T127" s="2">
        <f t="shared" si="55"/>
        <v>-1725.8065604377152</v>
      </c>
      <c r="U127" s="2">
        <f t="shared" si="55"/>
        <v>-1794.8388228552212</v>
      </c>
      <c r="V127" s="2">
        <f t="shared" si="55"/>
        <v>-8332.3394122927602</v>
      </c>
      <c r="W127" s="2">
        <f t="shared" si="55"/>
        <v>-3788.6425383783007</v>
      </c>
      <c r="X127" s="2">
        <f t="shared" si="55"/>
        <v>6162.2325037041655</v>
      </c>
      <c r="Y127" s="2">
        <f t="shared" si="55"/>
        <v>237.77303393003058</v>
      </c>
      <c r="Z127" s="2">
        <f t="shared" si="55"/>
        <v>-2183.6958631670059</v>
      </c>
      <c r="AA127" s="2">
        <f t="shared" si="55"/>
        <v>-2271.0436976936853</v>
      </c>
    </row>
    <row r="128" spans="1:27">
      <c r="B128" s="2" t="str">
        <f>+B41</f>
        <v>FC Recuperación Cajas Atrapadas</v>
      </c>
      <c r="G128" s="2">
        <f t="shared" ref="G128:AA128" si="56">+G41</f>
        <v>3846.9362500100001</v>
      </c>
      <c r="H128" s="2">
        <f t="shared" si="56"/>
        <v>2825.0695449999998</v>
      </c>
      <c r="I128" s="2">
        <f t="shared" si="56"/>
        <v>260.77101600000003</v>
      </c>
      <c r="J128" s="2">
        <f t="shared" si="56"/>
        <v>7160.66597</v>
      </c>
      <c r="K128" s="2">
        <f t="shared" si="56"/>
        <v>0</v>
      </c>
      <c r="L128" s="2">
        <f t="shared" si="56"/>
        <v>0</v>
      </c>
      <c r="M128" s="2">
        <f t="shared" si="56"/>
        <v>0</v>
      </c>
      <c r="N128" s="2">
        <f t="shared" si="56"/>
        <v>0</v>
      </c>
      <c r="O128" s="2">
        <f t="shared" si="56"/>
        <v>0</v>
      </c>
      <c r="P128" s="2">
        <f t="shared" si="56"/>
        <v>0</v>
      </c>
      <c r="Q128" s="2">
        <f t="shared" si="56"/>
        <v>0</v>
      </c>
      <c r="R128" s="2">
        <f t="shared" si="56"/>
        <v>0</v>
      </c>
      <c r="S128" s="2">
        <f t="shared" si="56"/>
        <v>0</v>
      </c>
      <c r="T128" s="2">
        <f t="shared" si="56"/>
        <v>0</v>
      </c>
      <c r="U128" s="2">
        <f t="shared" si="56"/>
        <v>0</v>
      </c>
      <c r="V128" s="2">
        <f t="shared" si="56"/>
        <v>0</v>
      </c>
      <c r="W128" s="2">
        <f t="shared" si="56"/>
        <v>0</v>
      </c>
      <c r="X128" s="2">
        <f t="shared" si="56"/>
        <v>0</v>
      </c>
      <c r="Y128" s="2">
        <f t="shared" si="56"/>
        <v>0</v>
      </c>
      <c r="Z128" s="2">
        <f t="shared" si="56"/>
        <v>0</v>
      </c>
      <c r="AA128" s="2">
        <f t="shared" si="56"/>
        <v>0</v>
      </c>
    </row>
    <row r="129" spans="2:132">
      <c r="B129" s="2" t="str">
        <f>+B44</f>
        <v>FC Venta Activos</v>
      </c>
      <c r="G129" s="2">
        <f t="shared" ref="G129:AA129" si="57">+G44</f>
        <v>0</v>
      </c>
      <c r="H129" s="2">
        <f t="shared" si="57"/>
        <v>40363.349136388497</v>
      </c>
      <c r="I129" s="2">
        <f t="shared" si="57"/>
        <v>34640.707915921499</v>
      </c>
      <c r="J129" s="2">
        <f t="shared" si="57"/>
        <v>0</v>
      </c>
      <c r="K129" s="2">
        <f t="shared" si="57"/>
        <v>14690.065288129997</v>
      </c>
      <c r="L129" s="2">
        <f t="shared" si="57"/>
        <v>2912.4433333333336</v>
      </c>
      <c r="M129" s="2">
        <f t="shared" si="57"/>
        <v>2591.876666666667</v>
      </c>
      <c r="N129" s="2">
        <f t="shared" si="57"/>
        <v>3233.01</v>
      </c>
      <c r="O129" s="2">
        <f t="shared" si="57"/>
        <v>0</v>
      </c>
      <c r="P129" s="2">
        <f t="shared" si="57"/>
        <v>0</v>
      </c>
      <c r="Q129" s="2">
        <f t="shared" si="57"/>
        <v>0</v>
      </c>
      <c r="R129" s="2">
        <f t="shared" si="57"/>
        <v>0</v>
      </c>
      <c r="S129" s="2">
        <f t="shared" si="57"/>
        <v>0</v>
      </c>
      <c r="T129" s="2">
        <f t="shared" si="57"/>
        <v>0</v>
      </c>
      <c r="U129" s="2">
        <f t="shared" si="57"/>
        <v>0</v>
      </c>
      <c r="V129" s="2">
        <f t="shared" si="57"/>
        <v>0</v>
      </c>
      <c r="W129" s="2">
        <f t="shared" si="57"/>
        <v>0</v>
      </c>
      <c r="X129" s="2">
        <f t="shared" si="57"/>
        <v>0</v>
      </c>
      <c r="Y129" s="2">
        <f t="shared" si="57"/>
        <v>0</v>
      </c>
      <c r="Z129" s="2">
        <f t="shared" si="57"/>
        <v>0</v>
      </c>
      <c r="AA129" s="2">
        <f t="shared" si="57"/>
        <v>0</v>
      </c>
    </row>
    <row r="130" spans="2:132">
      <c r="B130" s="2" t="str">
        <f>+B59</f>
        <v>FC Ley 1116 (incluye pensiones)</v>
      </c>
      <c r="G130" s="2">
        <f t="shared" ref="G130:AA130" si="58">+G59</f>
        <v>0</v>
      </c>
      <c r="H130" s="2">
        <f t="shared" si="58"/>
        <v>-27227.532923753999</v>
      </c>
      <c r="I130" s="2">
        <f t="shared" si="58"/>
        <v>-26011.078975</v>
      </c>
      <c r="J130" s="2">
        <f t="shared" si="58"/>
        <v>-406</v>
      </c>
      <c r="K130" s="2">
        <f t="shared" si="58"/>
        <v>-7206</v>
      </c>
      <c r="L130" s="2">
        <f t="shared" si="58"/>
        <v>-2206</v>
      </c>
      <c r="M130" s="2">
        <f t="shared" si="58"/>
        <v>-12406</v>
      </c>
      <c r="N130" s="2">
        <f t="shared" si="58"/>
        <v>-17206</v>
      </c>
      <c r="O130" s="2">
        <f t="shared" si="58"/>
        <v>-14282.8</v>
      </c>
      <c r="P130" s="2">
        <f t="shared" si="58"/>
        <v>-9406</v>
      </c>
      <c r="Q130" s="2">
        <f t="shared" si="58"/>
        <v>-17726.8</v>
      </c>
      <c r="R130" s="2">
        <f t="shared" si="58"/>
        <v>-24406</v>
      </c>
      <c r="S130" s="2">
        <f t="shared" si="58"/>
        <v>-62410.705815866007</v>
      </c>
      <c r="T130" s="2">
        <f t="shared" si="58"/>
        <v>0</v>
      </c>
      <c r="U130" s="2">
        <f t="shared" si="58"/>
        <v>0</v>
      </c>
      <c r="V130" s="2">
        <f t="shared" si="58"/>
        <v>0</v>
      </c>
      <c r="W130" s="2">
        <f t="shared" si="58"/>
        <v>0</v>
      </c>
      <c r="X130" s="2">
        <f t="shared" si="58"/>
        <v>0</v>
      </c>
      <c r="Y130" s="2">
        <f t="shared" si="58"/>
        <v>0</v>
      </c>
      <c r="Z130" s="2">
        <f t="shared" si="58"/>
        <v>0</v>
      </c>
      <c r="AA130" s="2">
        <f t="shared" si="58"/>
        <v>0</v>
      </c>
    </row>
    <row r="131" spans="2:132">
      <c r="B131" s="2" t="s">
        <v>318</v>
      </c>
      <c r="G131" s="2">
        <f t="shared" ref="G131:AA131" si="59">+G64</f>
        <v>0</v>
      </c>
      <c r="H131" s="2">
        <f t="shared" si="59"/>
        <v>2502.4910222584222</v>
      </c>
      <c r="I131" s="2">
        <f t="shared" si="59"/>
        <v>1501.695418256928</v>
      </c>
      <c r="J131" s="2">
        <f t="shared" si="59"/>
        <v>1326.5412857253386</v>
      </c>
      <c r="K131" s="2">
        <f t="shared" si="59"/>
        <v>750.79265910548929</v>
      </c>
      <c r="L131" s="2">
        <f t="shared" si="59"/>
        <v>500.50778122228348</v>
      </c>
      <c r="M131" s="2">
        <f t="shared" si="59"/>
        <v>3007.5205539166736</v>
      </c>
      <c r="N131" s="2">
        <f t="shared" si="59"/>
        <v>3711.5253893575891</v>
      </c>
      <c r="O131" s="2">
        <f t="shared" si="59"/>
        <v>1961.0344643901581</v>
      </c>
      <c r="P131" s="2">
        <f t="shared" si="59"/>
        <v>6652.353480428982</v>
      </c>
      <c r="Q131" s="2">
        <f t="shared" si="59"/>
        <v>6262.1294026589467</v>
      </c>
      <c r="R131" s="2">
        <f t="shared" si="59"/>
        <v>8712.0971275343109</v>
      </c>
      <c r="S131" s="2">
        <f t="shared" si="59"/>
        <v>408.07971937186085</v>
      </c>
      <c r="T131" s="2">
        <f t="shared" si="59"/>
        <v>28941.387754304542</v>
      </c>
      <c r="U131" s="2">
        <f t="shared" si="59"/>
        <v>53058.68745582219</v>
      </c>
      <c r="V131" s="2">
        <f t="shared" si="59"/>
        <v>71493.327620961907</v>
      </c>
      <c r="W131" s="2">
        <f t="shared" si="59"/>
        <v>96069.430258039123</v>
      </c>
      <c r="X131" s="2">
        <f t="shared" si="59"/>
        <v>124610.4243738793</v>
      </c>
      <c r="Y131" s="2">
        <f t="shared" si="59"/>
        <v>159226.83462889295</v>
      </c>
      <c r="Z131" s="2">
        <f t="shared" si="59"/>
        <v>196604.1521204155</v>
      </c>
      <c r="AA131" s="2">
        <f t="shared" si="59"/>
        <v>230662.58872077509</v>
      </c>
    </row>
    <row r="133" spans="2:132">
      <c r="B133" t="s">
        <v>555</v>
      </c>
      <c r="I133" s="3">
        <f>IFERROR(+I90*H103/H114,0)</f>
        <v>0</v>
      </c>
      <c r="J133" s="3">
        <f t="shared" ref="J133:X133" si="60">IFERROR(+J90*I103/I114,0)</f>
        <v>0</v>
      </c>
      <c r="K133" s="3">
        <f t="shared" si="60"/>
        <v>0</v>
      </c>
      <c r="L133" s="3">
        <f t="shared" si="60"/>
        <v>0</v>
      </c>
      <c r="M133" s="3">
        <f t="shared" si="60"/>
        <v>0</v>
      </c>
      <c r="N133" s="3">
        <f t="shared" si="60"/>
        <v>0</v>
      </c>
      <c r="O133" s="3">
        <f t="shared" si="60"/>
        <v>0</v>
      </c>
      <c r="P133" s="3">
        <f t="shared" si="60"/>
        <v>0</v>
      </c>
      <c r="Q133" s="3">
        <f t="shared" si="60"/>
        <v>0</v>
      </c>
      <c r="R133" s="3">
        <f t="shared" si="60"/>
        <v>11856.359476246798</v>
      </c>
      <c r="S133" s="3">
        <f t="shared" si="60"/>
        <v>8538.5841194342174</v>
      </c>
      <c r="T133" s="3">
        <f t="shared" si="60"/>
        <v>0</v>
      </c>
      <c r="U133" s="3">
        <f t="shared" si="60"/>
        <v>0</v>
      </c>
      <c r="V133" s="3">
        <f t="shared" si="60"/>
        <v>0</v>
      </c>
      <c r="W133" s="3">
        <f t="shared" si="60"/>
        <v>0</v>
      </c>
      <c r="X133" s="3">
        <f t="shared" si="60"/>
        <v>0</v>
      </c>
    </row>
    <row r="136" spans="2:132">
      <c r="C136" s="1"/>
      <c r="D136" s="207"/>
      <c r="E136" s="1"/>
      <c r="G136" s="3"/>
      <c r="H136" s="3"/>
      <c r="I136" s="3"/>
      <c r="J136" s="3"/>
      <c r="K136" s="3"/>
      <c r="L136" s="3"/>
      <c r="M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</row>
    <row r="137" spans="2:132">
      <c r="C137" s="1"/>
      <c r="D137" s="207"/>
      <c r="G137" s="3"/>
      <c r="H137" s="3"/>
      <c r="I137" s="3"/>
      <c r="J137" s="3"/>
      <c r="K137" s="3"/>
      <c r="L137" s="3"/>
      <c r="M137" s="3"/>
      <c r="N137" s="3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132">
      <c r="K138" s="50"/>
      <c r="L138" s="50"/>
      <c r="M138" s="50"/>
      <c r="N138" s="2"/>
      <c r="O138" s="2"/>
    </row>
    <row r="139" spans="2:132">
      <c r="N139" s="50"/>
    </row>
    <row r="142" spans="2:132">
      <c r="N142" s="3"/>
      <c r="O142" s="38"/>
      <c r="P142" s="3"/>
    </row>
    <row r="146" spans="16:20">
      <c r="P146" s="2"/>
      <c r="Q146" s="2"/>
      <c r="R146" s="2"/>
    </row>
    <row r="147" spans="16:20">
      <c r="P147" s="2"/>
    </row>
    <row r="150" spans="16:20">
      <c r="R150" s="2"/>
    </row>
    <row r="152" spans="16:20">
      <c r="R152" s="2"/>
      <c r="S152" s="3"/>
    </row>
    <row r="154" spans="16:20">
      <c r="T154" s="2"/>
    </row>
  </sheetData>
  <mergeCells count="3">
    <mergeCell ref="B1:S1"/>
    <mergeCell ref="B2:S2"/>
    <mergeCell ref="B3:S3"/>
  </mergeCells>
  <printOptions horizontalCentered="1" verticalCentered="1"/>
  <pageMargins left="0.25" right="0.25" top="0.5" bottom="0.5" header="0.25" footer="0.25"/>
  <pageSetup scale="6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Hojas de cálculo</vt:lpstr>
      </vt:variant>
      <vt:variant>
        <vt:i4>13</vt:i4>
      </vt:variant>
      <vt:variant>
        <vt:lpstr>Gráficos</vt:lpstr>
      </vt:variant>
      <vt:variant>
        <vt:i4>20</vt:i4>
      </vt:variant>
      <vt:variant>
        <vt:lpstr>Rangos con nombre</vt:lpstr>
      </vt:variant>
      <vt:variant>
        <vt:i4>12</vt:i4>
      </vt:variant>
    </vt:vector>
  </HeadingPairs>
  <TitlesOfParts>
    <vt:vector size="45" baseType="lpstr">
      <vt:lpstr>Proyecciones</vt:lpstr>
      <vt:lpstr>Ventas externas</vt:lpstr>
      <vt:lpstr>Reg Proy Inmob</vt:lpstr>
      <vt:lpstr>Proyectos Inmob detall</vt:lpstr>
      <vt:lpstr>Cajas Atrapadas</vt:lpstr>
      <vt:lpstr>Venta Activos</vt:lpstr>
      <vt:lpstr>PyG</vt:lpstr>
      <vt:lpstr>Bce General</vt:lpstr>
      <vt:lpstr>Flujo Caja</vt:lpstr>
      <vt:lpstr>Resumen</vt:lpstr>
      <vt:lpstr>Resumen formula Pago</vt:lpstr>
      <vt:lpstr>Sensibilidad</vt:lpstr>
      <vt:lpstr>Para hacer operaciones</vt:lpstr>
      <vt:lpstr>Gráfico1</vt:lpstr>
      <vt:lpstr>Gráfico2</vt:lpstr>
      <vt:lpstr>Gráfico3</vt:lpstr>
      <vt:lpstr>Gráfico4</vt:lpstr>
      <vt:lpstr>Gráfico5</vt:lpstr>
      <vt:lpstr>Gráfico6</vt:lpstr>
      <vt:lpstr>Gráfico7</vt:lpstr>
      <vt:lpstr>Gráfico8</vt:lpstr>
      <vt:lpstr>Gráfico9</vt:lpstr>
      <vt:lpstr>Gráfico10</vt:lpstr>
      <vt:lpstr>Gráfico11</vt:lpstr>
      <vt:lpstr>Gráfico12</vt:lpstr>
      <vt:lpstr>Gráfico13</vt:lpstr>
      <vt:lpstr>Gráfico14</vt:lpstr>
      <vt:lpstr>Gráfico15</vt:lpstr>
      <vt:lpstr>Gráfico16</vt:lpstr>
      <vt:lpstr>Gráfico17</vt:lpstr>
      <vt:lpstr>Gráfico18</vt:lpstr>
      <vt:lpstr>Gráfico19</vt:lpstr>
      <vt:lpstr>Gráfico20</vt:lpstr>
      <vt:lpstr>ab_2clase</vt:lpstr>
      <vt:lpstr>ab_5clase</vt:lpstr>
      <vt:lpstr>año_arq</vt:lpstr>
      <vt:lpstr>'Flujo Caja'!Área_de_impresión</vt:lpstr>
      <vt:lpstr>Arq</vt:lpstr>
      <vt:lpstr>dism_bolsa</vt:lpstr>
      <vt:lpstr>DTF</vt:lpstr>
      <vt:lpstr>INFLACION</vt:lpstr>
      <vt:lpstr>int_equiv</vt:lpstr>
      <vt:lpstr>renta</vt:lpstr>
      <vt:lpstr>tasa_acuerdo</vt:lpstr>
      <vt:lpstr>wc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Microsoft Office User</cp:lastModifiedBy>
  <cp:lastPrinted>2020-09-21T05:36:42Z</cp:lastPrinted>
  <dcterms:created xsi:type="dcterms:W3CDTF">2018-03-07T19:26:01Z</dcterms:created>
  <dcterms:modified xsi:type="dcterms:W3CDTF">2020-09-21T06:03:36Z</dcterms:modified>
</cp:coreProperties>
</file>